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756EED-3317-4A3B-B628-14242AD22776}" xr6:coauthVersionLast="47" xr6:coauthVersionMax="47" xr10:uidLastSave="{00000000-0000-0000-0000-000000000000}"/>
  <bookViews>
    <workbookView xWindow="-120" yWindow="-120" windowWidth="29040" windowHeight="15720" tabRatio="850" firstSheet="3" activeTab="3" xr2:uid="{00000000-000D-0000-FFFF-FFFF00000000}"/>
  </bookViews>
  <sheets>
    <sheet name="표지" sheetId="36" r:id="rId1"/>
    <sheet name="설명서" sheetId="35" r:id="rId2"/>
    <sheet name="예정공정표" sheetId="34" r:id="rId3"/>
    <sheet name="원가계산서" sheetId="4" r:id="rId4"/>
    <sheet name="설계내역서" sheetId="5" r:id="rId5"/>
    <sheet name="단위환산" sheetId="18" r:id="rId6"/>
    <sheet name="단가산출서(물푸레)" sheetId="26" r:id="rId7"/>
    <sheet name="단가산출서(자작)" sheetId="31" r:id="rId8"/>
    <sheet name="단가산출서(백합)" sheetId="32" r:id="rId9"/>
    <sheet name="단가산출서(상수리,루브라)" sheetId="30" r:id="rId10"/>
    <sheet name="단가산출서(쉬나무)" sheetId="40" r:id="rId11"/>
    <sheet name="대상지조서" sheetId="37" r:id="rId12"/>
    <sheet name="원가법정요율 적용기준" sheetId="42" r:id="rId13"/>
    <sheet name="(참고)조경공사 제비율 적용기준" sheetId="39" r:id="rId14"/>
  </sheets>
  <externalReferences>
    <externalReference r:id="rId15"/>
    <externalReference r:id="rId16"/>
  </externalReferences>
  <definedNames>
    <definedName name="_xlnm.Print_Area" localSheetId="13">'(참고)조경공사 제비율 적용기준'!$A$1:$E$74</definedName>
    <definedName name="_xlnm.Print_Area" localSheetId="6">'단가산출서(물푸레)'!$A$1:$H$22</definedName>
    <definedName name="_xlnm.Print_Area" localSheetId="8">'단가산출서(백합)'!$A$1:$H$22</definedName>
    <definedName name="_xlnm.Print_Area" localSheetId="9">'단가산출서(상수리,루브라)'!$A$1:$H$22</definedName>
    <definedName name="_xlnm.Print_Area" localSheetId="10">'단가산출서(쉬나무)'!$A$1:$H$22</definedName>
    <definedName name="_xlnm.Print_Area" localSheetId="7">'단가산출서(자작)'!$A$1:$H$22</definedName>
    <definedName name="_xlnm.Print_Area" localSheetId="5">단위환산!$A$1:$K$10</definedName>
    <definedName name="_xlnm.Print_Area" localSheetId="4">설계내역서!$A$1:$M$11</definedName>
    <definedName name="_xlnm.Print_Area" localSheetId="3">원가계산서!$A$1:$J$29</definedName>
    <definedName name="_xlnm.Print_Titles" localSheetId="5">단위환산!$1:$4</definedName>
    <definedName name="_xlnm.Print_Titles" localSheetId="4">설계내역서!$1:$4</definedName>
    <definedName name="_xlnm.Print_Titles">#N/A</definedName>
    <definedName name="강">#REF!</definedName>
    <definedName name="나">#REF!</definedName>
    <definedName name="낙">#REF!</definedName>
    <definedName name="리">#REF!</definedName>
    <definedName name="삼">#REF!</definedName>
    <definedName name="상">#REF!</definedName>
    <definedName name="수종">#REF!</definedName>
    <definedName name="신">#REF!</definedName>
    <definedName name="잣">#REF!</definedName>
    <definedName name="중">#REF!</definedName>
    <definedName name="토공2">'[1]1'!$A$1:$O$51</definedName>
    <definedName name="편">#REF!</definedName>
    <definedName name="해">#REF!</definedName>
    <definedName name="ㅣ4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6" i="4" l="1"/>
  <c r="D11" i="5"/>
  <c r="E39" i="36"/>
  <c r="E4" i="35"/>
  <c r="J6" i="40"/>
  <c r="C6" i="40"/>
  <c r="J7" i="40" s="1"/>
  <c r="C7" i="40" s="1"/>
  <c r="J21" i="40"/>
  <c r="H19" i="40"/>
  <c r="G9" i="18" s="1"/>
  <c r="H9" i="18" s="1"/>
  <c r="I10" i="5" s="1"/>
  <c r="J10" i="5" s="1"/>
  <c r="J14" i="40"/>
  <c r="C13" i="40"/>
  <c r="M5" i="37"/>
  <c r="P5" i="37"/>
  <c r="J6" i="30"/>
  <c r="C6" i="30" s="1"/>
  <c r="J14" i="30"/>
  <c r="C13" i="30" s="1"/>
  <c r="H19" i="30"/>
  <c r="G8" i="18" s="1"/>
  <c r="H8" i="18" s="1"/>
  <c r="I8" i="5" s="1"/>
  <c r="J21" i="30"/>
  <c r="A22" i="30"/>
  <c r="A22" i="26" s="1"/>
  <c r="A22" i="31" s="1"/>
  <c r="J6" i="32"/>
  <c r="C6" i="32" s="1"/>
  <c r="H19" i="32"/>
  <c r="G7" i="18" s="1"/>
  <c r="H7" i="18" s="1"/>
  <c r="I7" i="5" s="1"/>
  <c r="J7" i="5" s="1"/>
  <c r="C6" i="31"/>
  <c r="J6" i="31"/>
  <c r="J7" i="31"/>
  <c r="C7" i="31" s="1"/>
  <c r="J8" i="31"/>
  <c r="C8" i="31" s="1"/>
  <c r="H20" i="31" s="1"/>
  <c r="I6" i="18" s="1"/>
  <c r="J6" i="18" s="1"/>
  <c r="K6" i="5" s="1"/>
  <c r="L6" i="5" s="1"/>
  <c r="J10" i="31"/>
  <c r="C10" i="31" s="1"/>
  <c r="J12" i="31"/>
  <c r="C13" i="31"/>
  <c r="J14" i="31"/>
  <c r="H19" i="31"/>
  <c r="J21" i="31"/>
  <c r="J6" i="26"/>
  <c r="C6" i="26" s="1"/>
  <c r="J14" i="26"/>
  <c r="C13" i="26" s="1"/>
  <c r="H19" i="26"/>
  <c r="G5" i="18" s="1"/>
  <c r="H5" i="18" s="1"/>
  <c r="I5" i="5" s="1"/>
  <c r="J5" i="5" s="1"/>
  <c r="J21" i="26"/>
  <c r="G6" i="18"/>
  <c r="H6" i="18"/>
  <c r="I6" i="5"/>
  <c r="J6" i="5"/>
  <c r="D8" i="4"/>
  <c r="D10" i="4"/>
  <c r="D19" i="4" s="1"/>
  <c r="D11" i="4"/>
  <c r="D13" i="4" s="1"/>
  <c r="D16" i="4" s="1"/>
  <c r="D24" i="4"/>
  <c r="A18" i="36"/>
  <c r="A48" i="36" s="1"/>
  <c r="O30" i="36"/>
  <c r="A34" i="36"/>
  <c r="E37" i="36"/>
  <c r="J12" i="26" l="1"/>
  <c r="C11" i="26" s="1"/>
  <c r="J7" i="26"/>
  <c r="C7" i="26" s="1"/>
  <c r="J8" i="26"/>
  <c r="C8" i="26" s="1"/>
  <c r="H20" i="26" s="1"/>
  <c r="I5" i="18" s="1"/>
  <c r="J5" i="18" s="1"/>
  <c r="K5" i="5" s="1"/>
  <c r="L5" i="5" s="1"/>
  <c r="J10" i="26"/>
  <c r="C10" i="26" s="1"/>
  <c r="J8" i="32"/>
  <c r="C8" i="32" s="1"/>
  <c r="H20" i="32" s="1"/>
  <c r="I7" i="18" s="1"/>
  <c r="J7" i="18" s="1"/>
  <c r="K7" i="5" s="1"/>
  <c r="L7" i="5" s="1"/>
  <c r="J10" i="32"/>
  <c r="C10" i="32" s="1"/>
  <c r="J12" i="32"/>
  <c r="J7" i="32"/>
  <c r="C7" i="32" s="1"/>
  <c r="J8" i="5"/>
  <c r="I9" i="5"/>
  <c r="J9" i="5" s="1"/>
  <c r="J11" i="5"/>
  <c r="J10" i="30"/>
  <c r="C10" i="30" s="1"/>
  <c r="J8" i="30"/>
  <c r="C8" i="30" s="1"/>
  <c r="H20" i="30" s="1"/>
  <c r="I8" i="18" s="1"/>
  <c r="J8" i="18" s="1"/>
  <c r="K8" i="5" s="1"/>
  <c r="J12" i="30"/>
  <c r="J7" i="30"/>
  <c r="C7" i="30" s="1"/>
  <c r="J12" i="40"/>
  <c r="D20" i="4"/>
  <c r="J10" i="40"/>
  <c r="C10" i="40" s="1"/>
  <c r="H18" i="40" s="1"/>
  <c r="E9" i="18" s="1"/>
  <c r="H18" i="31"/>
  <c r="E6" i="18" s="1"/>
  <c r="J8" i="40"/>
  <c r="C8" i="40" s="1"/>
  <c r="H20" i="40" s="1"/>
  <c r="I9" i="18" s="1"/>
  <c r="J9" i="18" s="1"/>
  <c r="K10" i="5" s="1"/>
  <c r="L10" i="5" s="1"/>
  <c r="D12" i="4"/>
  <c r="C6" i="18" l="1"/>
  <c r="F6" i="18"/>
  <c r="G6" i="5" s="1"/>
  <c r="H6" i="5" s="1"/>
  <c r="C9" i="18"/>
  <c r="F9" i="18"/>
  <c r="G10" i="5" s="1"/>
  <c r="H10" i="5" s="1"/>
  <c r="F17" i="31"/>
  <c r="F18" i="31" s="1"/>
  <c r="F21" i="31" s="1"/>
  <c r="D6" i="18" s="1"/>
  <c r="E6" i="5" s="1"/>
  <c r="F6" i="5" s="1"/>
  <c r="F17" i="30"/>
  <c r="F18" i="30" s="1"/>
  <c r="F21" i="30" s="1"/>
  <c r="D8" i="18" s="1"/>
  <c r="E8" i="5" s="1"/>
  <c r="H18" i="30"/>
  <c r="E8" i="18" s="1"/>
  <c r="F17" i="32"/>
  <c r="F18" i="32" s="1"/>
  <c r="F21" i="32" s="1"/>
  <c r="D7" i="18" s="1"/>
  <c r="E7" i="5" s="1"/>
  <c r="F7" i="5" s="1"/>
  <c r="H18" i="32"/>
  <c r="E7" i="18" s="1"/>
  <c r="F17" i="40"/>
  <c r="F18" i="40" s="1"/>
  <c r="F21" i="40" s="1"/>
  <c r="D9" i="18" s="1"/>
  <c r="E10" i="5" s="1"/>
  <c r="F10" i="5" s="1"/>
  <c r="H18" i="26"/>
  <c r="E5" i="18" s="1"/>
  <c r="F17" i="26"/>
  <c r="F18" i="26" s="1"/>
  <c r="F21" i="26" s="1"/>
  <c r="D5" i="18" s="1"/>
  <c r="E5" i="5" s="1"/>
  <c r="F5" i="5" s="1"/>
  <c r="L8" i="5"/>
  <c r="K9" i="5"/>
  <c r="L9" i="5" s="1"/>
  <c r="L11" i="5" l="1"/>
  <c r="C8" i="18"/>
  <c r="F8" i="18"/>
  <c r="G8" i="5" s="1"/>
  <c r="F7" i="18"/>
  <c r="G7" i="5" s="1"/>
  <c r="H7" i="5" s="1"/>
  <c r="C7" i="18"/>
  <c r="E9" i="5"/>
  <c r="F9" i="5" s="1"/>
  <c r="F8" i="5"/>
  <c r="F11" i="5"/>
  <c r="C5" i="18"/>
  <c r="F5" i="18"/>
  <c r="G5" i="5" s="1"/>
  <c r="H5" i="5" s="1"/>
  <c r="H8" i="5" l="1"/>
  <c r="G9" i="5"/>
  <c r="H9" i="5" s="1"/>
  <c r="H11" i="5" s="1"/>
  <c r="E29" i="4" l="1"/>
</calcChain>
</file>

<file path=xl/sharedStrings.xml><?xml version="1.0" encoding="utf-8"?>
<sst xmlns="http://schemas.openxmlformats.org/spreadsheetml/2006/main" count="604" uniqueCount="270">
  <si>
    <t>순
공
사
비</t>
  </si>
  <si>
    <t>재
료
비</t>
  </si>
  <si>
    <t>직   접   재   료   비</t>
  </si>
  <si>
    <t>간   접   재   료   비</t>
  </si>
  <si>
    <t>[소                  계]</t>
  </si>
  <si>
    <t>노
무
비</t>
  </si>
  <si>
    <t>직   접   노   무   비</t>
  </si>
  <si>
    <t>간   접   노   무   비</t>
  </si>
  <si>
    <t xml:space="preserve"> </t>
  </si>
  <si>
    <t>산   재   보   험   료</t>
  </si>
  <si>
    <t>계</t>
  </si>
  <si>
    <t>노무비</t>
  </si>
  <si>
    <t>재료비</t>
  </si>
  <si>
    <t>비 고</t>
  </si>
  <si>
    <t xml:space="preserve">○ 당초공사금액 : </t>
    <phoneticPr fontId="2" type="noConversion"/>
  </si>
  <si>
    <t xml:space="preserve">○ 변경공사금액 : </t>
    <phoneticPr fontId="2" type="noConversion"/>
  </si>
  <si>
    <t>당  초  금  액</t>
    <phoneticPr fontId="2" type="noConversion"/>
  </si>
  <si>
    <t>금      액</t>
    <phoneticPr fontId="2" type="noConversion"/>
  </si>
  <si>
    <t>(직접노무비) ×</t>
    <phoneticPr fontId="2" type="noConversion"/>
  </si>
  <si>
    <t>노무비의</t>
    <phoneticPr fontId="2" type="noConversion"/>
  </si>
  <si>
    <t>총  계</t>
    <phoneticPr fontId="2" type="noConversion"/>
  </si>
  <si>
    <t>고   용   보   험   료</t>
    <phoneticPr fontId="2" type="noConversion"/>
  </si>
  <si>
    <t>건   강   보   험   료</t>
    <phoneticPr fontId="2" type="noConversion"/>
  </si>
  <si>
    <t>국     민     연     금</t>
    <phoneticPr fontId="2" type="noConversion"/>
  </si>
  <si>
    <t>금   액</t>
    <phoneticPr fontId="2" type="noConversion"/>
  </si>
  <si>
    <t>단위</t>
    <phoneticPr fontId="2" type="noConversion"/>
  </si>
  <si>
    <t>직접노무비의</t>
    <phoneticPr fontId="2" type="noConversion"/>
  </si>
  <si>
    <t>기     계     경     비</t>
    <phoneticPr fontId="2" type="noConversion"/>
  </si>
  <si>
    <t>경 비</t>
    <phoneticPr fontId="2" type="noConversion"/>
  </si>
  <si>
    <t>일     반     관     리     비</t>
    <phoneticPr fontId="2" type="noConversion"/>
  </si>
  <si>
    <t>이                            윤</t>
    <phoneticPr fontId="2" type="noConversion"/>
  </si>
  <si>
    <t>경
비</t>
    <phoneticPr fontId="2" type="noConversion"/>
  </si>
  <si>
    <t>운         반         비</t>
    <phoneticPr fontId="2" type="noConversion"/>
  </si>
  <si>
    <t>산업안전보건관리비</t>
    <phoneticPr fontId="2" type="noConversion"/>
  </si>
  <si>
    <t>비           고</t>
    <phoneticPr fontId="2" type="noConversion"/>
  </si>
  <si>
    <t>구성비(%)</t>
    <phoneticPr fontId="2" type="noConversion"/>
  </si>
  <si>
    <t>용     역     공     사     비</t>
    <phoneticPr fontId="2" type="noConversion"/>
  </si>
  <si>
    <t xml:space="preserve">    비  목                                             구  분</t>
    <phoneticPr fontId="2" type="noConversion"/>
  </si>
  <si>
    <t>노인장기요양보험료</t>
    <phoneticPr fontId="2" type="noConversion"/>
  </si>
  <si>
    <t>건강보험료의</t>
    <phoneticPr fontId="2" type="noConversion"/>
  </si>
  <si>
    <t>(100ℓ당)</t>
    <phoneticPr fontId="2" type="noConversion"/>
  </si>
  <si>
    <t>구  분</t>
    <phoneticPr fontId="2" type="noConversion"/>
  </si>
  <si>
    <t>종 별</t>
    <phoneticPr fontId="2" type="noConversion"/>
  </si>
  <si>
    <t>수  량</t>
    <phoneticPr fontId="2" type="noConversion"/>
  </si>
  <si>
    <t>단 가
(원)</t>
    <phoneticPr fontId="2" type="noConversion"/>
  </si>
  <si>
    <t>금  액
(원)</t>
    <phoneticPr fontId="2" type="noConversion"/>
  </si>
  <si>
    <t>비              고</t>
    <phoneticPr fontId="2" type="noConversion"/>
  </si>
  <si>
    <t>구과채취량</t>
    <phoneticPr fontId="2" type="noConversion"/>
  </si>
  <si>
    <t>ℓ</t>
    <phoneticPr fontId="2" type="noConversion"/>
  </si>
  <si>
    <t>채취비</t>
    <phoneticPr fontId="2" type="noConversion"/>
  </si>
  <si>
    <t>남</t>
    <phoneticPr fontId="2" type="noConversion"/>
  </si>
  <si>
    <t>인</t>
    <phoneticPr fontId="2" type="noConversion"/>
  </si>
  <si>
    <t>운반비</t>
    <phoneticPr fontId="2" type="noConversion"/>
  </si>
  <si>
    <t>경운기</t>
    <phoneticPr fontId="2" type="noConversion"/>
  </si>
  <si>
    <t>조</t>
    <phoneticPr fontId="2" type="noConversion"/>
  </si>
  <si>
    <t>2km/편도</t>
    <phoneticPr fontId="2" type="noConversion"/>
  </si>
  <si>
    <t>건조탈각</t>
    <phoneticPr fontId="2" type="noConversion"/>
  </si>
  <si>
    <t>종자정선</t>
    <phoneticPr fontId="2" type="noConversion"/>
  </si>
  <si>
    <t>종자포장</t>
    <phoneticPr fontId="2" type="noConversion"/>
  </si>
  <si>
    <t>포장재료</t>
    <phoneticPr fontId="2" type="noConversion"/>
  </si>
  <si>
    <t>포대</t>
    <phoneticPr fontId="2" type="noConversion"/>
  </si>
  <si>
    <t>매</t>
    <phoneticPr fontId="2" type="noConversion"/>
  </si>
  <si>
    <t>끈</t>
    <phoneticPr fontId="2" type="noConversion"/>
  </si>
  <si>
    <t>m</t>
    <phoneticPr fontId="2" type="noConversion"/>
  </si>
  <si>
    <t>계</t>
    <phoneticPr fontId="2" type="noConversion"/>
  </si>
  <si>
    <t>1ℓ당 단가</t>
    <phoneticPr fontId="2" type="noConversion"/>
  </si>
  <si>
    <t>1kg당 단가</t>
    <phoneticPr fontId="2" type="noConversion"/>
  </si>
  <si>
    <t>1인 1일 400ℓ</t>
    <phoneticPr fontId="2" type="noConversion"/>
  </si>
  <si>
    <t>노무비</t>
    <phoneticPr fontId="2" type="noConversion"/>
  </si>
  <si>
    <t>재료비</t>
    <phoneticPr fontId="2" type="noConversion"/>
  </si>
  <si>
    <t>1인 1일 200ℓ</t>
    <phoneticPr fontId="2" type="noConversion"/>
  </si>
  <si>
    <t>1인 1일 20포대 묶음</t>
    <phoneticPr fontId="2" type="noConversion"/>
  </si>
  <si>
    <t>수량</t>
    <phoneticPr fontId="2" type="noConversion"/>
  </si>
  <si>
    <t>kg</t>
  </si>
  <si>
    <t>kg</t>
    <phoneticPr fontId="2" type="noConversion"/>
  </si>
  <si>
    <t>구분</t>
    <phoneticPr fontId="2" type="noConversion"/>
  </si>
  <si>
    <t>수종</t>
    <phoneticPr fontId="2" type="noConversion"/>
  </si>
  <si>
    <t>ℓ</t>
  </si>
  <si>
    <t>활엽수</t>
    <phoneticPr fontId="2" type="noConversion"/>
  </si>
  <si>
    <t>백합나무</t>
  </si>
  <si>
    <t>백합나무</t>
    <phoneticPr fontId="2" type="noConversion"/>
  </si>
  <si>
    <t>상수리나무</t>
  </si>
  <si>
    <t xml:space="preserve">  수종 : 백합나무</t>
    <phoneticPr fontId="2" type="noConversion"/>
  </si>
  <si>
    <t>1인 1일 475ℓ</t>
    <phoneticPr fontId="2" type="noConversion"/>
  </si>
  <si>
    <t>1인 1일 395ℓ</t>
    <phoneticPr fontId="2" type="noConversion"/>
  </si>
  <si>
    <t>순공사비+일반관리비+이윤</t>
    <phoneticPr fontId="2" type="noConversion"/>
  </si>
  <si>
    <t>노무비+경비+일반관리비의</t>
    <phoneticPr fontId="2" type="noConversion"/>
  </si>
  <si>
    <t>재료비+노무비+경비의</t>
    <phoneticPr fontId="2" type="noConversion"/>
  </si>
  <si>
    <t>설  계   내  역  서</t>
    <phoneticPr fontId="2" type="noConversion"/>
  </si>
  <si>
    <t xml:space="preserve"> 원 가 계 산 서</t>
    <phoneticPr fontId="2" type="noConversion"/>
  </si>
  <si>
    <t>부             가            세</t>
    <phoneticPr fontId="2" type="noConversion"/>
  </si>
  <si>
    <t>1ℓ당 단가</t>
    <phoneticPr fontId="2" type="noConversion"/>
  </si>
  <si>
    <t>1kg≒22.22ℓ</t>
    <phoneticPr fontId="2" type="noConversion"/>
  </si>
  <si>
    <t>단위별 단가 환산 적용표</t>
    <phoneticPr fontId="2" type="noConversion"/>
  </si>
  <si>
    <t>1kg≒1.6694ℓ</t>
    <phoneticPr fontId="2" type="noConversion"/>
  </si>
  <si>
    <t>물푸레나무</t>
    <phoneticPr fontId="2" type="noConversion"/>
  </si>
  <si>
    <t>자작나무</t>
    <phoneticPr fontId="2" type="noConversion"/>
  </si>
  <si>
    <t xml:space="preserve">  수종 : 물푸레나무</t>
    <phoneticPr fontId="2" type="noConversion"/>
  </si>
  <si>
    <t>1kg≒8.8495ℓ</t>
    <phoneticPr fontId="2" type="noConversion"/>
  </si>
  <si>
    <t>1kg≒13.8888ℓ</t>
    <phoneticPr fontId="2" type="noConversion"/>
  </si>
  <si>
    <t>자작</t>
    <phoneticPr fontId="2" type="noConversion"/>
  </si>
  <si>
    <t>수득률 100%</t>
    <phoneticPr fontId="2" type="noConversion"/>
  </si>
  <si>
    <t>평작 1인 1일 20ℓ채취</t>
    <phoneticPr fontId="2" type="noConversion"/>
  </si>
  <si>
    <t>6,800ℓ/1일 1대</t>
    <phoneticPr fontId="2" type="noConversion"/>
  </si>
  <si>
    <t>여</t>
    <phoneticPr fontId="2" type="noConversion"/>
  </si>
  <si>
    <t>ℓ</t>
    <phoneticPr fontId="2" type="noConversion"/>
  </si>
  <si>
    <t>1인 1일 20포대 묶음
(100ℓ×100%/20포/70ℓ)</t>
    <phoneticPr fontId="2" type="noConversion"/>
  </si>
  <si>
    <t>1포대 70ℓ</t>
    <phoneticPr fontId="2" type="noConversion"/>
  </si>
  <si>
    <t>수득률 33%</t>
    <phoneticPr fontId="2" type="noConversion"/>
  </si>
  <si>
    <t>1인 1일 400ℓ</t>
    <phoneticPr fontId="2" type="noConversion"/>
  </si>
  <si>
    <t xml:space="preserve">  수종 : 자작나무</t>
    <phoneticPr fontId="2" type="noConversion"/>
  </si>
  <si>
    <t>여</t>
    <phoneticPr fontId="2" type="noConversion"/>
  </si>
  <si>
    <t>수종별 단가산출서</t>
    <phoneticPr fontId="2" type="noConversion"/>
  </si>
  <si>
    <t>사업 설명서</t>
    <phoneticPr fontId="2" type="noConversion"/>
  </si>
  <si>
    <t xml:space="preserve"> </t>
    <phoneticPr fontId="2" type="noConversion"/>
  </si>
  <si>
    <t>소장</t>
    <phoneticPr fontId="2" type="noConversion"/>
  </si>
  <si>
    <t>팀장</t>
    <phoneticPr fontId="2" type="noConversion"/>
  </si>
  <si>
    <t>전결</t>
    <phoneticPr fontId="2" type="noConversion"/>
  </si>
  <si>
    <t>심사</t>
    <phoneticPr fontId="2" type="noConversion"/>
  </si>
  <si>
    <t>설계자</t>
    <phoneticPr fontId="2" type="noConversion"/>
  </si>
  <si>
    <t>설 계</t>
    <phoneticPr fontId="2" type="noConversion"/>
  </si>
  <si>
    <t>심 사</t>
    <phoneticPr fontId="2" type="noConversion"/>
  </si>
  <si>
    <t>경기도 군포시 속달동 산1-1 등</t>
    <phoneticPr fontId="2" type="noConversion"/>
  </si>
  <si>
    <t xml:space="preserve">○ 소재지: </t>
    <phoneticPr fontId="2" type="noConversion"/>
  </si>
  <si>
    <t xml:space="preserve">○ 사업비: </t>
    <phoneticPr fontId="2" type="noConversion"/>
  </si>
  <si>
    <t>예  정  공  정   표</t>
    <phoneticPr fontId="2" type="noConversion"/>
  </si>
  <si>
    <t>사  업  종</t>
    <phoneticPr fontId="2" type="noConversion"/>
  </si>
  <si>
    <t>비고</t>
    <phoneticPr fontId="2" type="noConversion"/>
  </si>
  <si>
    <t>설계서 검토 및
현지 확인</t>
    <phoneticPr fontId="2" type="noConversion"/>
  </si>
  <si>
    <t>종자채취</t>
    <phoneticPr fontId="2" type="noConversion"/>
  </si>
  <si>
    <t>종자정선 및 포장</t>
    <phoneticPr fontId="2" type="noConversion"/>
  </si>
  <si>
    <t>총   공  사  비</t>
    <phoneticPr fontId="2" type="noConversion"/>
  </si>
  <si>
    <t>천원단위미만 절사</t>
    <phoneticPr fontId="2" type="noConversion"/>
  </si>
  <si>
    <t>소유별</t>
  </si>
  <si>
    <t>지 정 내 용</t>
  </si>
  <si>
    <t>수종</t>
  </si>
  <si>
    <t>소 재 지</t>
  </si>
  <si>
    <t>본수</t>
  </si>
  <si>
    <t>수령</t>
  </si>
  <si>
    <t>채종임분</t>
  </si>
  <si>
    <t>2008.11.05</t>
  </si>
  <si>
    <t>수원시</t>
  </si>
  <si>
    <t>〃</t>
  </si>
  <si>
    <t>행정안전부</t>
  </si>
  <si>
    <t>경기도</t>
  </si>
  <si>
    <t>2009.07.17</t>
  </si>
  <si>
    <t>구역면적
(ha)</t>
    <phoneticPr fontId="2" type="noConversion"/>
  </si>
  <si>
    <t>지정년월일</t>
    <phoneticPr fontId="2" type="noConversion"/>
  </si>
  <si>
    <t>수원시 장안구 영화동 349</t>
  </si>
  <si>
    <t>과천시 관문로 88(중앙동)</t>
  </si>
  <si>
    <t>216본</t>
  </si>
  <si>
    <t>오산시 수청동 332-4</t>
  </si>
  <si>
    <t>20본</t>
  </si>
  <si>
    <t>군포시 속달동 산 1-1</t>
  </si>
  <si>
    <t>180본</t>
  </si>
  <si>
    <t>평택시 진위면 동천리 산103</t>
  </si>
  <si>
    <t>500본</t>
  </si>
  <si>
    <t>1,000본</t>
  </si>
  <si>
    <t>상수리나무</t>
    <phoneticPr fontId="2" type="noConversion"/>
  </si>
  <si>
    <t>50본</t>
    <phoneticPr fontId="2" type="noConversion"/>
  </si>
  <si>
    <t>자작나무</t>
    <phoneticPr fontId="2" type="noConversion"/>
  </si>
  <si>
    <t>물푸레나무</t>
    <phoneticPr fontId="2" type="noConversion"/>
  </si>
  <si>
    <t>경기도</t>
    <phoneticPr fontId="2" type="noConversion"/>
  </si>
  <si>
    <t>군포시 속달동 산 1-1</t>
    <phoneticPr fontId="2" type="noConversion"/>
  </si>
  <si>
    <t>2011.12.20</t>
    <phoneticPr fontId="2" type="noConversion"/>
  </si>
  <si>
    <t>2. 소 재 지 : 경기도 군포시 속달동 산1-1번지 등</t>
    <phoneticPr fontId="2" type="noConversion"/>
  </si>
  <si>
    <t>○ 사업량:</t>
    <phoneticPr fontId="2" type="noConversion"/>
  </si>
  <si>
    <t xml:space="preserve">                 총원가의                                                  10%</t>
    <phoneticPr fontId="2" type="noConversion"/>
  </si>
  <si>
    <t>수득률 43%</t>
    <phoneticPr fontId="2" type="noConversion"/>
  </si>
  <si>
    <t>35본</t>
    <phoneticPr fontId="2" type="noConversion"/>
  </si>
  <si>
    <t>재료비+직접노무비의</t>
    <phoneticPr fontId="2" type="noConversion"/>
  </si>
  <si>
    <t>물푸레</t>
    <phoneticPr fontId="2" type="noConversion"/>
  </si>
  <si>
    <t>루브라참나무</t>
    <phoneticPr fontId="2" type="noConversion"/>
  </si>
  <si>
    <t>상수리나무
(루브라참나무)</t>
    <phoneticPr fontId="2" type="noConversion"/>
  </si>
  <si>
    <t>4,000본</t>
    <phoneticPr fontId="2" type="noConversion"/>
  </si>
  <si>
    <t>520본</t>
    <phoneticPr fontId="2" type="noConversion"/>
  </si>
  <si>
    <t>수득률 84%</t>
    <phoneticPr fontId="2" type="noConversion"/>
  </si>
  <si>
    <t>평작 1인 1일 48ℓ채취</t>
    <phoneticPr fontId="2" type="noConversion"/>
  </si>
  <si>
    <t>1포대 10m 소요</t>
    <phoneticPr fontId="2" type="noConversion"/>
  </si>
  <si>
    <t>평작 1인 1일 100ℓ채취</t>
    <phoneticPr fontId="2" type="noConversion"/>
  </si>
  <si>
    <t>평작 1인 1일 25ℓ채취</t>
    <phoneticPr fontId="2" type="noConversion"/>
  </si>
  <si>
    <t>*루브라참나무는 유사종인 상수리나무로 적용</t>
    <phoneticPr fontId="2" type="noConversion"/>
  </si>
  <si>
    <t>단   가</t>
    <phoneticPr fontId="2" type="noConversion"/>
  </si>
  <si>
    <t>단  가</t>
    <phoneticPr fontId="2" type="noConversion"/>
  </si>
  <si>
    <t>금  액</t>
    <phoneticPr fontId="2" type="noConversion"/>
  </si>
  <si>
    <t>가평군 북면 적목리 산 1-1</t>
    <phoneticPr fontId="2" type="noConversion"/>
  </si>
  <si>
    <t>용인시 처인구 남사면 통삼리 산185-1</t>
    <phoneticPr fontId="2" type="noConversion"/>
  </si>
  <si>
    <t>700본</t>
    <phoneticPr fontId="2" type="noConversion"/>
  </si>
  <si>
    <t>2021.01.26.</t>
    <phoneticPr fontId="2" type="noConversion"/>
  </si>
  <si>
    <t>38년</t>
    <phoneticPr fontId="2" type="noConversion"/>
  </si>
  <si>
    <t>29년</t>
    <phoneticPr fontId="2" type="noConversion"/>
  </si>
  <si>
    <t>24년</t>
    <phoneticPr fontId="2" type="noConversion"/>
  </si>
  <si>
    <t>36년</t>
    <phoneticPr fontId="2" type="noConversion"/>
  </si>
  <si>
    <t>39년</t>
    <phoneticPr fontId="2" type="noConversion"/>
  </si>
  <si>
    <t>42년</t>
    <phoneticPr fontId="2" type="noConversion"/>
  </si>
  <si>
    <t>30년</t>
    <phoneticPr fontId="2" type="noConversion"/>
  </si>
  <si>
    <t>17년</t>
    <phoneticPr fontId="2" type="noConversion"/>
  </si>
  <si>
    <t>19년</t>
    <phoneticPr fontId="2" type="noConversion"/>
  </si>
  <si>
    <t>25년</t>
    <phoneticPr fontId="2" type="noConversion"/>
  </si>
  <si>
    <t>채종임분</t>
    <phoneticPr fontId="2" type="noConversion"/>
  </si>
  <si>
    <t>6종</t>
    <phoneticPr fontId="2" type="noConversion"/>
  </si>
  <si>
    <t>일본잎갈나무</t>
    <phoneticPr fontId="2" type="noConversion"/>
  </si>
  <si>
    <t>가평군 화악리 산276</t>
    <phoneticPr fontId="2" type="noConversion"/>
  </si>
  <si>
    <t>가평군 화악리 산314-1</t>
    <phoneticPr fontId="2" type="noConversion"/>
  </si>
  <si>
    <t>15년</t>
    <phoneticPr fontId="2" type="noConversion"/>
  </si>
  <si>
    <t>13년</t>
    <phoneticPr fontId="2" type="noConversion"/>
  </si>
  <si>
    <t>검토중</t>
    <phoneticPr fontId="2" type="noConversion"/>
  </si>
  <si>
    <t>2023년 건축∙산업환경설비공사 원가계산 간접공사비(제비율) 적용기준</t>
  </si>
  <si>
    <t xml:space="preserve">3. 사 업 량 :  </t>
    <phoneticPr fontId="2" type="noConversion"/>
  </si>
  <si>
    <t xml:space="preserve">  수종 : 상수리, 루브라참나무</t>
    <phoneticPr fontId="2" type="noConversion"/>
  </si>
  <si>
    <t>경기도 채종임분 조성 현황</t>
    <phoneticPr fontId="2" type="noConversion"/>
  </si>
  <si>
    <t>5본</t>
    <phoneticPr fontId="2" type="noConversion"/>
  </si>
  <si>
    <t>오산시 청학로 211</t>
    <phoneticPr fontId="2" type="noConversion"/>
  </si>
  <si>
    <t>40년</t>
    <phoneticPr fontId="2" type="noConversion"/>
  </si>
  <si>
    <t>31년</t>
    <phoneticPr fontId="2" type="noConversion"/>
  </si>
  <si>
    <t>41년</t>
    <phoneticPr fontId="2" type="noConversion"/>
  </si>
  <si>
    <t>44년</t>
    <phoneticPr fontId="2" type="noConversion"/>
  </si>
  <si>
    <t>32년</t>
    <phoneticPr fontId="2" type="noConversion"/>
  </si>
  <si>
    <t>21년</t>
    <phoneticPr fontId="2" type="noConversion"/>
  </si>
  <si>
    <t>27년</t>
    <phoneticPr fontId="2" type="noConversion"/>
  </si>
  <si>
    <t>사업기간 : 착공일로부터 60일</t>
    <phoneticPr fontId="2" type="noConversion"/>
  </si>
  <si>
    <t>4. 사업기간 : 60일간</t>
    <phoneticPr fontId="2" type="noConversion"/>
  </si>
  <si>
    <t>○ 공사명 : 2026년 산림용 종자채취사업</t>
    <phoneticPr fontId="2" type="noConversion"/>
  </si>
  <si>
    <t>2026년 산림용 종자 채취사업 설계서</t>
    <phoneticPr fontId="2" type="noConversion"/>
  </si>
  <si>
    <t>2026년  09 월    일</t>
    <phoneticPr fontId="2" type="noConversion"/>
  </si>
  <si>
    <t>1. 사 업 명 : 2026년 산림용 종자 채취사업</t>
    <phoneticPr fontId="2" type="noConversion"/>
  </si>
  <si>
    <t>kg (백합나무 등 6수종)</t>
    <phoneticPr fontId="2" type="noConversion"/>
  </si>
  <si>
    <t>5. 사업목적 : 산림용 종자를 산지가 증명된 채종임분에서 채취·공급함으로써 우량 묘목 생산기반을 마련하고 산림용 종자 국가관리체계를
                    확립하여 ´26년 이후 묘목생산에 만전을 기하고자 함.</t>
    <phoneticPr fontId="2" type="noConversion"/>
  </si>
  <si>
    <t>○사업명 : 2026년 산림용 종자채취</t>
    <phoneticPr fontId="2" type="noConversion"/>
  </si>
  <si>
    <t>쉬나무</t>
    <phoneticPr fontId="2" type="noConversion"/>
  </si>
  <si>
    <t xml:space="preserve">  수종 : 쉬나무</t>
    <phoneticPr fontId="2" type="noConversion"/>
  </si>
  <si>
    <t>수득률 25%</t>
    <phoneticPr fontId="2" type="noConversion"/>
  </si>
  <si>
    <t>평작 1인 1일 60ℓ채취</t>
    <phoneticPr fontId="2" type="noConversion"/>
  </si>
  <si>
    <t>1kg≒2.1413ℓ</t>
    <phoneticPr fontId="2" type="noConversion"/>
  </si>
  <si>
    <t>※ 단가산출시 「2025년산 산림용 종묘가격(산림청고시 제2025-95호, 2025.12.24)」의 채취공정 이용. 
    인부임 단가는 「경기도 기간제근로자등 보수지침」 보통인부 단가 적용.</t>
    <phoneticPr fontId="2" type="noConversion"/>
  </si>
  <si>
    <t>※ 단가산출시 「2025년산 산림용 종묘가격(산림청고시 제2025-95호, 2025.12.24)」의 채취공정 이용. 쉬나무와 유사한 종자특성 이용. 
    인부임 단가는 「경기도 기간제근로자등 보수지침」 보통인부 단가 적용.</t>
    <phoneticPr fontId="2" type="noConversion"/>
  </si>
  <si>
    <t>2026년 산림용 종자 채취사업 대상지</t>
    <phoneticPr fontId="2" type="noConversion"/>
  </si>
  <si>
    <t>2025.07.25</t>
    <phoneticPr fontId="2" type="noConversion"/>
  </si>
  <si>
    <t>양주시 광적면 덕도리 624-7</t>
    <phoneticPr fontId="2" type="noConversion"/>
  </si>
  <si>
    <t>175본</t>
    <phoneticPr fontId="2" type="noConversion"/>
  </si>
  <si>
    <t>원가법정요율 적용기준</t>
    <phoneticPr fontId="2" type="noConversion"/>
  </si>
  <si>
    <t>비목</t>
    <phoneticPr fontId="2" type="noConversion"/>
  </si>
  <si>
    <t>적용기준</t>
    <phoneticPr fontId="2" type="noConversion"/>
  </si>
  <si>
    <t>요율(%)</t>
    <phoneticPr fontId="2" type="noConversion"/>
  </si>
  <si>
    <t>산 출 근 거</t>
    <phoneticPr fontId="2" type="noConversion"/>
  </si>
  <si>
    <t>(직접노무비)*율(%)</t>
    <phoneticPr fontId="2" type="noConversion"/>
  </si>
  <si>
    <t>(노무비)*율(%)</t>
    <phoneticPr fontId="2" type="noConversion"/>
  </si>
  <si>
    <t>(재료비+직접노무비)*율(%)</t>
    <phoneticPr fontId="2" type="noConversion"/>
  </si>
  <si>
    <t>(건강보험료)*율(%)</t>
    <phoneticPr fontId="2" type="noConversion"/>
  </si>
  <si>
    <t>(재료비+노무비+경비)*율(%)</t>
    <phoneticPr fontId="2" type="noConversion"/>
  </si>
  <si>
    <t>(노무비+경비+일반관리비)*율(%)</t>
    <phoneticPr fontId="2" type="noConversion"/>
  </si>
  <si>
    <t>(총원가)*율(%)</t>
    <phoneticPr fontId="2" type="noConversion"/>
  </si>
  <si>
    <t>조달청 조경공사 원가계산 간접공사비(제비율) 적용기준(2026.4.13)</t>
    <phoneticPr fontId="2" type="noConversion"/>
  </si>
  <si>
    <t>고용보험 및 산업재해보상보험의 보험료징수 등에 관한 법률</t>
    <phoneticPr fontId="2" type="noConversion"/>
  </si>
  <si>
    <t xml:space="preserve">고용노동부 2026년도 사업종류별 산재보험료율 고시(임업) </t>
    <phoneticPr fontId="2" type="noConversion"/>
  </si>
  <si>
    <t>지방자체단체 입찰 및 계약 집행기준(2026. 7. 1.)</t>
    <phoneticPr fontId="2" type="noConversion"/>
  </si>
  <si>
    <t>산 업 안 전 보 건 관 리 비</t>
    <phoneticPr fontId="2" type="noConversion"/>
  </si>
  <si>
    <t>노 인 장 기 요 양 보 험 료</t>
    <phoneticPr fontId="2" type="noConversion"/>
  </si>
  <si>
    <t>이                             윤</t>
    <phoneticPr fontId="2" type="noConversion"/>
  </si>
  <si>
    <t>부     가     가     치     세</t>
    <phoneticPr fontId="2" type="noConversion"/>
  </si>
  <si>
    <t>건     강     보     험     료</t>
    <phoneticPr fontId="2" type="noConversion"/>
  </si>
  <si>
    <t>고     용     보     험     료</t>
    <phoneticPr fontId="2" type="noConversion"/>
  </si>
  <si>
    <t>산     재     보     험     료</t>
    <phoneticPr fontId="2" type="noConversion"/>
  </si>
  <si>
    <t>간     접     노     무     비</t>
    <phoneticPr fontId="2" type="noConversion"/>
  </si>
  <si>
    <t>국        민        연       금</t>
    <phoneticPr fontId="2" type="noConversion"/>
  </si>
  <si>
    <t>석면분담금</t>
    <phoneticPr fontId="2" type="noConversion"/>
  </si>
  <si>
    <t>임금채권부담금</t>
    <phoneticPr fontId="2" type="noConversion"/>
  </si>
  <si>
    <t>석     면     분     담     금</t>
    <phoneticPr fontId="2" type="noConversion"/>
  </si>
  <si>
    <t>임  금  채   권  부  담  금</t>
    <phoneticPr fontId="2" type="noConversion"/>
  </si>
  <si>
    <t>금사천삼백삼십사만칠천원(￦43,347,000)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</si>
</sst>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 "/>
    <numFmt numFmtId="179" formatCode="_-* #,##0_-;\-* #,##0_-;_-* &quot;-&quot;??_-;_-@_-"/>
    <numFmt numFmtId="180" formatCode="_-* #,##0.00_-;\-* #,##0.00_-;_-* &quot;-&quot;_-;_-@_-"/>
    <numFmt numFmtId="181" formatCode="_-* #,##0.00\ _B_F_-;\-* #,##0.00\ _B_F_-;_-* &quot;-&quot;??\ _B_F_-;_-@_-"/>
    <numFmt numFmtId="182" formatCode="&quot;$&quot;#,##0.00_);[Red]\(&quot;$&quot;#,##0.00\)"/>
    <numFmt numFmtId="183" formatCode="_(&quot;$&quot;* #,##0_);_(&quot;$&quot;* \(#,##0\);_(&quot;$&quot;* &quot;-&quot;??_);_(@_)"/>
    <numFmt numFmtId="184" formatCode="&quot;$&quot;#,##0"/>
    <numFmt numFmtId="185" formatCode="#,##0_);[Red]\(#,##0\)"/>
    <numFmt numFmtId="186" formatCode="#,##0.0_ "/>
    <numFmt numFmtId="187" formatCode="#,##0.00_ "/>
    <numFmt numFmtId="188" formatCode="0.00_ "/>
    <numFmt numFmtId="189" formatCode="_-* #,##0.0_-;\-* #,##0.0_-;_-* &quot;-&quot;_-;_-@_-"/>
    <numFmt numFmtId="190" formatCode="0.0"/>
    <numFmt numFmtId="191" formatCode="0.000%"/>
  </numFmts>
  <fonts count="7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b/>
      <sz val="11"/>
      <name val="돋움"/>
      <family val="3"/>
      <charset val="129"/>
    </font>
    <font>
      <sz val="10"/>
      <color indexed="8"/>
      <name val="Geneva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name val="HY헤드라인M"/>
      <family val="1"/>
      <charset val="129"/>
    </font>
    <font>
      <b/>
      <sz val="16"/>
      <name val="경기천년바탕 Regular"/>
      <family val="1"/>
      <charset val="129"/>
    </font>
    <font>
      <sz val="11"/>
      <name val="경기천년바탕 Regular"/>
      <family val="1"/>
      <charset val="129"/>
    </font>
    <font>
      <sz val="13"/>
      <name val="경기천년바탕 Regular"/>
      <family val="1"/>
      <charset val="129"/>
    </font>
    <font>
      <sz val="12"/>
      <name val="경기천년바탕 Regular"/>
      <family val="1"/>
      <charset val="129"/>
    </font>
    <font>
      <b/>
      <sz val="20"/>
      <name val="경기천년바탕 Regular"/>
      <family val="1"/>
      <charset val="129"/>
    </font>
    <font>
      <sz val="11"/>
      <name val="경기천년바탕 Bold"/>
      <family val="1"/>
      <charset val="129"/>
    </font>
    <font>
      <b/>
      <sz val="20"/>
      <name val="경기천년바탕 Bold"/>
      <family val="1"/>
      <charset val="129"/>
    </font>
    <font>
      <sz val="20"/>
      <name val="경기천년제목 Medium"/>
      <family val="1"/>
      <charset val="129"/>
    </font>
    <font>
      <b/>
      <sz val="18"/>
      <name val="경기천년바탕 Regular"/>
      <family val="1"/>
      <charset val="129"/>
    </font>
    <font>
      <b/>
      <sz val="11"/>
      <name val="경기천년바탕 Regular"/>
      <family val="1"/>
      <charset val="129"/>
    </font>
    <font>
      <b/>
      <sz val="18"/>
      <name val="경기천년바탕OTF Regular"/>
      <family val="1"/>
      <charset val="129"/>
    </font>
    <font>
      <sz val="11"/>
      <name val="경기천년바탕OTF Regular"/>
      <family val="1"/>
      <charset val="129"/>
    </font>
    <font>
      <b/>
      <sz val="11"/>
      <name val="경기천년바탕OTF Regular"/>
      <family val="1"/>
      <charset val="129"/>
    </font>
    <font>
      <b/>
      <sz val="11"/>
      <color indexed="8"/>
      <name val="경기천년바탕OTF Regular"/>
      <family val="1"/>
      <charset val="129"/>
    </font>
    <font>
      <sz val="11"/>
      <color indexed="8"/>
      <name val="경기천년바탕OTF Regular"/>
      <family val="1"/>
      <charset val="129"/>
    </font>
    <font>
      <sz val="10"/>
      <name val="경기천년바탕OTF Regular"/>
      <family val="1"/>
      <charset val="129"/>
    </font>
    <font>
      <b/>
      <sz val="18"/>
      <name val="경기천년바탕 Bold"/>
      <family val="1"/>
      <charset val="129"/>
    </font>
    <font>
      <sz val="11"/>
      <name val="경기천년제목 Medium"/>
      <family val="1"/>
      <charset val="129"/>
    </font>
    <font>
      <sz val="14"/>
      <name val="경기천년바탕OTF Regular"/>
      <family val="1"/>
      <charset val="129"/>
    </font>
    <font>
      <b/>
      <sz val="12"/>
      <name val="경기천년바탕OTF Regular"/>
      <family val="1"/>
      <charset val="129"/>
    </font>
    <font>
      <u/>
      <sz val="22"/>
      <name val="경기천년제목 Medium"/>
      <family val="1"/>
      <charset val="129"/>
    </font>
    <font>
      <b/>
      <sz val="11"/>
      <name val="경기천년바탕 Bold"/>
      <family val="1"/>
      <charset val="129"/>
    </font>
    <font>
      <b/>
      <sz val="24"/>
      <name val="경기천년바탕 Regular"/>
      <family val="1"/>
      <charset val="129"/>
    </font>
    <font>
      <sz val="14"/>
      <name val="경기천년바탕 Regular"/>
      <family val="1"/>
      <charset val="129"/>
    </font>
    <font>
      <sz val="16"/>
      <name val="경기천년바탕 Regular"/>
      <family val="1"/>
      <charset val="129"/>
    </font>
    <font>
      <b/>
      <sz val="24"/>
      <name val="경기천년제목 Medium"/>
      <family val="1"/>
      <charset val="129"/>
    </font>
    <font>
      <sz val="18"/>
      <name val="경기천년제목 Medium"/>
      <family val="1"/>
      <charset val="129"/>
    </font>
    <font>
      <b/>
      <sz val="18"/>
      <name val="경기천년제목 Medium"/>
      <family val="1"/>
      <charset val="129"/>
    </font>
    <font>
      <sz val="16"/>
      <name val="경기천년제목 Medium"/>
      <family val="1"/>
      <charset val="129"/>
    </font>
    <font>
      <sz val="15"/>
      <name val="경기천년바탕 Regular"/>
      <family val="1"/>
      <charset val="129"/>
    </font>
    <font>
      <sz val="12"/>
      <name val="경기천년바탕OTF Regular"/>
      <family val="1"/>
      <charset val="129"/>
    </font>
    <font>
      <b/>
      <sz val="16"/>
      <name val="돋움"/>
      <family val="3"/>
      <charset val="129"/>
    </font>
    <font>
      <sz val="11"/>
      <color rgb="FF000000"/>
      <name val="경기천년바탕 Regular"/>
      <family val="1"/>
      <charset val="129"/>
    </font>
    <font>
      <sz val="11"/>
      <color rgb="FF0000FF"/>
      <name val="경기천년바탕 Regular"/>
      <family val="1"/>
      <charset val="129"/>
    </font>
    <font>
      <sz val="11"/>
      <color rgb="FFFF0000"/>
      <name val="굴림"/>
      <family val="3"/>
      <charset val="129"/>
    </font>
    <font>
      <sz val="11"/>
      <color rgb="FFFF0000"/>
      <name val="돋움"/>
      <family val="3"/>
      <charset val="129"/>
    </font>
    <font>
      <sz val="11"/>
      <color theme="1"/>
      <name val="경기천년바탕OTF Regular"/>
      <family val="1"/>
      <charset val="129"/>
    </font>
    <font>
      <sz val="12"/>
      <color theme="1"/>
      <name val="경기천년바탕OTF Regular"/>
      <family val="1"/>
      <charset val="129"/>
    </font>
    <font>
      <sz val="6"/>
      <color theme="1"/>
      <name val="맑은 고딕"/>
      <family val="3"/>
      <charset val="129"/>
      <scheme val="minor"/>
    </font>
    <font>
      <sz val="11"/>
      <color theme="1"/>
      <name val="경기천년바탕 Regular"/>
      <family val="1"/>
      <charset val="129"/>
    </font>
    <font>
      <b/>
      <sz val="16"/>
      <color rgb="FFFF0000"/>
      <name val="경기천년바탕 Regular"/>
      <family val="1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double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double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hair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80">
    <xf numFmtId="0" fontId="0" fillId="0" borderId="0">
      <alignment vertical="center"/>
    </xf>
    <xf numFmtId="0" fontId="4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6" fillId="0" borderId="0"/>
    <xf numFmtId="0" fontId="3" fillId="0" borderId="0"/>
    <xf numFmtId="0" fontId="7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2" fontId="9" fillId="0" borderId="0" applyFont="0" applyFill="0" applyBorder="0" applyAlignment="0" applyProtection="0"/>
    <xf numFmtId="38" fontId="10" fillId="16" borderId="0" applyNumberFormat="0" applyBorder="0" applyAlignment="0" applyProtection="0"/>
    <xf numFmtId="0" fontId="11" fillId="0" borderId="0">
      <alignment horizontal="left"/>
    </xf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0" fillId="16" borderId="3" applyNumberFormat="0" applyBorder="0" applyAlignment="0" applyProtection="0"/>
    <xf numFmtId="0" fontId="12" fillId="0" borderId="4"/>
    <xf numFmtId="181" fontId="1" fillId="0" borderId="0"/>
    <xf numFmtId="0" fontId="7" fillId="0" borderId="0"/>
    <xf numFmtId="10" fontId="3" fillId="0" borderId="0" applyFont="0" applyFill="0" applyBorder="0" applyAlignment="0" applyProtection="0"/>
    <xf numFmtId="0" fontId="12" fillId="0" borderId="0"/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22" borderId="6" applyNumberFormat="0" applyFon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4" borderId="7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3" fillId="0" borderId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21" borderId="13" applyNumberFormat="0" applyAlignment="0" applyProtection="0">
      <alignment vertical="center"/>
    </xf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18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4">
    <xf numFmtId="0" fontId="0" fillId="0" borderId="0" xfId="0">
      <alignment vertical="center"/>
    </xf>
    <xf numFmtId="0" fontId="13" fillId="0" borderId="0" xfId="79" applyFont="1" applyAlignment="1">
      <alignment vertical="center"/>
    </xf>
    <xf numFmtId="0" fontId="1" fillId="0" borderId="0" xfId="79"/>
    <xf numFmtId="178" fontId="14" fillId="0" borderId="0" xfId="79" applyNumberFormat="1" applyFont="1" applyAlignment="1">
      <alignment horizontal="center" vertical="center"/>
    </xf>
    <xf numFmtId="178" fontId="1" fillId="0" borderId="0" xfId="79" applyNumberFormat="1" applyFont="1" applyAlignment="1">
      <alignment horizontal="center" vertical="center"/>
    </xf>
    <xf numFmtId="178" fontId="8" fillId="0" borderId="0" xfId="79" applyNumberFormat="1" applyFont="1" applyAlignment="1">
      <alignment horizontal="center" vertical="center"/>
    </xf>
    <xf numFmtId="178" fontId="15" fillId="0" borderId="0" xfId="79" applyNumberFormat="1" applyFont="1" applyAlignment="1">
      <alignment horizontal="center" vertical="center"/>
    </xf>
    <xf numFmtId="0" fontId="1" fillId="0" borderId="0" xfId="75" applyFont="1"/>
    <xf numFmtId="0" fontId="35" fillId="0" borderId="0" xfId="75" applyFont="1"/>
    <xf numFmtId="0" fontId="16" fillId="0" borderId="0" xfId="75" applyFont="1"/>
    <xf numFmtId="43" fontId="16" fillId="0" borderId="0" xfId="75" applyNumberFormat="1" applyFont="1"/>
    <xf numFmtId="0" fontId="36" fillId="0" borderId="0" xfId="75" applyFont="1"/>
    <xf numFmtId="187" fontId="16" fillId="0" borderId="0" xfId="75" applyNumberFormat="1" applyFont="1"/>
    <xf numFmtId="188" fontId="16" fillId="0" borderId="0" xfId="75" applyNumberFormat="1" applyFont="1"/>
    <xf numFmtId="0" fontId="37" fillId="0" borderId="0" xfId="75" applyFont="1" applyAlignment="1">
      <alignment vertical="center"/>
    </xf>
    <xf numFmtId="0" fontId="37" fillId="0" borderId="14" xfId="75" applyFont="1" applyBorder="1" applyAlignment="1">
      <alignment vertical="center"/>
    </xf>
    <xf numFmtId="0" fontId="37" fillId="0" borderId="15" xfId="75" applyFont="1" applyBorder="1" applyAlignment="1">
      <alignment vertical="center"/>
    </xf>
    <xf numFmtId="0" fontId="37" fillId="0" borderId="16" xfId="75" applyFont="1" applyBorder="1" applyAlignment="1">
      <alignment vertical="center"/>
    </xf>
    <xf numFmtId="0" fontId="37" fillId="0" borderId="17" xfId="75" applyFont="1" applyBorder="1" applyAlignment="1">
      <alignment vertical="center"/>
    </xf>
    <xf numFmtId="0" fontId="37" fillId="0" borderId="0" xfId="75" applyFont="1" applyBorder="1" applyAlignment="1">
      <alignment vertical="center"/>
    </xf>
    <xf numFmtId="0" fontId="37" fillId="0" borderId="18" xfId="75" applyFont="1" applyBorder="1" applyAlignment="1">
      <alignment vertical="center"/>
    </xf>
    <xf numFmtId="0" fontId="37" fillId="0" borderId="19" xfId="75" applyFont="1" applyBorder="1" applyAlignment="1">
      <alignment vertical="center"/>
    </xf>
    <xf numFmtId="0" fontId="37" fillId="0" borderId="4" xfId="75" applyFont="1" applyBorder="1" applyAlignment="1">
      <alignment vertical="center"/>
    </xf>
    <xf numFmtId="0" fontId="37" fillId="0" borderId="20" xfId="75" applyFont="1" applyBorder="1" applyAlignment="1">
      <alignment vertical="center"/>
    </xf>
    <xf numFmtId="0" fontId="0" fillId="0" borderId="0" xfId="0" applyAlignment="1">
      <alignment horizontal="center" vertical="center"/>
    </xf>
    <xf numFmtId="178" fontId="1" fillId="0" borderId="0" xfId="79" applyNumberFormat="1" applyFont="1" applyFill="1" applyAlignment="1">
      <alignment horizontal="center" vertical="center"/>
    </xf>
    <xf numFmtId="0" fontId="70" fillId="0" borderId="3" xfId="0" applyFont="1" applyBorder="1" applyAlignment="1">
      <alignment horizontal="center" vertical="center" wrapText="1"/>
    </xf>
    <xf numFmtId="190" fontId="70" fillId="0" borderId="3" xfId="0" applyNumberFormat="1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70" fillId="0" borderId="3" xfId="0" applyFont="1" applyBorder="1" applyAlignment="1">
      <alignment horizontal="left" vertical="center" wrapText="1" indent="1"/>
    </xf>
    <xf numFmtId="0" fontId="39" fillId="0" borderId="0" xfId="75" applyFont="1"/>
    <xf numFmtId="0" fontId="39" fillId="0" borderId="0" xfId="0" applyFont="1" applyAlignment="1">
      <alignment horizontal="right"/>
    </xf>
    <xf numFmtId="0" fontId="40" fillId="0" borderId="21" xfId="75" applyFont="1" applyBorder="1" applyAlignment="1">
      <alignment horizontal="center" vertical="center"/>
    </xf>
    <xf numFmtId="0" fontId="40" fillId="0" borderId="22" xfId="75" applyFont="1" applyBorder="1" applyAlignment="1">
      <alignment horizontal="center" vertical="center"/>
    </xf>
    <xf numFmtId="0" fontId="40" fillId="0" borderId="2" xfId="75" applyFont="1" applyBorder="1" applyAlignment="1">
      <alignment horizontal="center" vertical="center"/>
    </xf>
    <xf numFmtId="0" fontId="40" fillId="0" borderId="2" xfId="75" applyFont="1" applyBorder="1" applyAlignment="1">
      <alignment horizontal="center" vertical="center" wrapText="1"/>
    </xf>
    <xf numFmtId="0" fontId="40" fillId="0" borderId="22" xfId="75" applyFont="1" applyBorder="1" applyAlignment="1">
      <alignment horizontal="center" vertical="center" wrapText="1"/>
    </xf>
    <xf numFmtId="0" fontId="41" fillId="0" borderId="23" xfId="75" applyFont="1" applyBorder="1" applyAlignment="1">
      <alignment horizontal="center" vertical="center"/>
    </xf>
    <xf numFmtId="0" fontId="41" fillId="0" borderId="24" xfId="75" applyFont="1" applyBorder="1" applyAlignment="1">
      <alignment horizontal="center" vertical="center"/>
    </xf>
    <xf numFmtId="189" fontId="41" fillId="0" borderId="25" xfId="58" applyNumberFormat="1" applyFont="1" applyBorder="1" applyAlignment="1">
      <alignment vertical="center"/>
    </xf>
    <xf numFmtId="189" fontId="41" fillId="0" borderId="24" xfId="58" applyNumberFormat="1" applyFont="1" applyBorder="1" applyAlignment="1">
      <alignment horizontal="center" vertical="center"/>
    </xf>
    <xf numFmtId="189" fontId="41" fillId="0" borderId="24" xfId="58" applyNumberFormat="1" applyFont="1" applyBorder="1" applyAlignment="1">
      <alignment vertical="center"/>
    </xf>
    <xf numFmtId="0" fontId="41" fillId="0" borderId="26" xfId="75" applyFont="1" applyBorder="1" applyAlignment="1">
      <alignment horizontal="center" vertical="center"/>
    </xf>
    <xf numFmtId="0" fontId="41" fillId="0" borderId="27" xfId="75" applyFont="1" applyBorder="1" applyAlignment="1">
      <alignment horizontal="center" vertical="center"/>
    </xf>
    <xf numFmtId="180" fontId="41" fillId="0" borderId="28" xfId="58" applyNumberFormat="1" applyFont="1" applyBorder="1" applyAlignment="1">
      <alignment horizontal="right" vertical="center"/>
    </xf>
    <xf numFmtId="189" fontId="41" fillId="0" borderId="27" xfId="58" applyNumberFormat="1" applyFont="1" applyBorder="1" applyAlignment="1">
      <alignment horizontal="center" vertical="center"/>
    </xf>
    <xf numFmtId="41" fontId="41" fillId="0" borderId="27" xfId="58" applyNumberFormat="1" applyFont="1" applyBorder="1" applyAlignment="1">
      <alignment vertical="center"/>
    </xf>
    <xf numFmtId="0" fontId="41" fillId="0" borderId="29" xfId="75" applyFont="1" applyBorder="1" applyAlignment="1">
      <alignment horizontal="center" vertical="center"/>
    </xf>
    <xf numFmtId="180" fontId="41" fillId="0" borderId="30" xfId="58" applyNumberFormat="1" applyFont="1" applyBorder="1" applyAlignment="1">
      <alignment horizontal="right" vertical="center"/>
    </xf>
    <xf numFmtId="189" fontId="41" fillId="0" borderId="29" xfId="58" applyNumberFormat="1" applyFont="1" applyBorder="1" applyAlignment="1">
      <alignment horizontal="center" vertical="center"/>
    </xf>
    <xf numFmtId="41" fontId="41" fillId="0" borderId="29" xfId="58" applyNumberFormat="1" applyFont="1" applyBorder="1" applyAlignment="1">
      <alignment vertical="center"/>
    </xf>
    <xf numFmtId="0" fontId="41" fillId="0" borderId="31" xfId="75" applyFont="1" applyBorder="1" applyAlignment="1">
      <alignment horizontal="center" vertical="center"/>
    </xf>
    <xf numFmtId="0" fontId="41" fillId="0" borderId="32" xfId="75" applyFont="1" applyBorder="1" applyAlignment="1">
      <alignment horizontal="center" vertical="center"/>
    </xf>
    <xf numFmtId="180" fontId="41" fillId="0" borderId="0" xfId="58" applyNumberFormat="1" applyFont="1" applyBorder="1" applyAlignment="1">
      <alignment horizontal="right" vertical="center"/>
    </xf>
    <xf numFmtId="189" fontId="41" fillId="0" borderId="32" xfId="58" applyNumberFormat="1" applyFont="1" applyBorder="1" applyAlignment="1">
      <alignment horizontal="center" vertical="center"/>
    </xf>
    <xf numFmtId="41" fontId="41" fillId="0" borderId="0" xfId="58" applyNumberFormat="1" applyFont="1" applyFill="1" applyBorder="1" applyAlignment="1">
      <alignment horizontal="right" vertical="center"/>
    </xf>
    <xf numFmtId="41" fontId="41" fillId="0" borderId="32" xfId="58" applyNumberFormat="1" applyFont="1" applyBorder="1" applyAlignment="1">
      <alignment vertical="center"/>
    </xf>
    <xf numFmtId="41" fontId="41" fillId="0" borderId="30" xfId="58" applyNumberFormat="1" applyFont="1" applyBorder="1" applyAlignment="1">
      <alignment horizontal="right" vertical="center"/>
    </xf>
    <xf numFmtId="41" fontId="41" fillId="0" borderId="28" xfId="58" applyNumberFormat="1" applyFont="1" applyBorder="1" applyAlignment="1">
      <alignment horizontal="right" vertical="center"/>
    </xf>
    <xf numFmtId="41" fontId="41" fillId="0" borderId="27" xfId="58" applyNumberFormat="1" applyFont="1" applyBorder="1" applyAlignment="1">
      <alignment horizontal="center" vertical="center"/>
    </xf>
    <xf numFmtId="41" fontId="39" fillId="0" borderId="33" xfId="56" applyFont="1" applyBorder="1" applyAlignment="1">
      <alignment vertical="center"/>
    </xf>
    <xf numFmtId="0" fontId="41" fillId="0" borderId="0" xfId="75" applyFont="1" applyBorder="1" applyAlignment="1">
      <alignment horizontal="center" vertical="center"/>
    </xf>
    <xf numFmtId="189" fontId="41" fillId="0" borderId="34" xfId="58" applyNumberFormat="1" applyFont="1" applyBorder="1" applyAlignment="1">
      <alignment horizontal="center" vertical="center"/>
    </xf>
    <xf numFmtId="41" fontId="41" fillId="0" borderId="35" xfId="58" applyNumberFormat="1" applyFont="1" applyBorder="1" applyAlignment="1">
      <alignment horizontal="right" vertical="center"/>
    </xf>
    <xf numFmtId="41" fontId="41" fillId="0" borderId="34" xfId="58" applyNumberFormat="1" applyFont="1" applyBorder="1" applyAlignment="1">
      <alignment vertical="center"/>
    </xf>
    <xf numFmtId="178" fontId="48" fillId="0" borderId="0" xfId="79" applyNumberFormat="1" applyFont="1" applyBorder="1" applyAlignment="1">
      <alignment horizontal="center" vertical="center"/>
    </xf>
    <xf numFmtId="178" fontId="48" fillId="0" borderId="0" xfId="79" applyNumberFormat="1" applyFont="1" applyAlignment="1">
      <alignment horizontal="center" vertical="center"/>
    </xf>
    <xf numFmtId="178" fontId="49" fillId="0" borderId="0" xfId="79" applyNumberFormat="1" applyFont="1" applyBorder="1" applyAlignment="1">
      <alignment horizontal="center" vertical="center"/>
    </xf>
    <xf numFmtId="178" fontId="49" fillId="25" borderId="36" xfId="79" applyNumberFormat="1" applyFont="1" applyFill="1" applyBorder="1" applyAlignment="1">
      <alignment horizontal="center" vertical="center" wrapText="1"/>
    </xf>
    <xf numFmtId="41" fontId="50" fillId="25" borderId="36" xfId="79" applyNumberFormat="1" applyFont="1" applyFill="1" applyBorder="1" applyAlignment="1">
      <alignment horizontal="center" vertical="center"/>
    </xf>
    <xf numFmtId="178" fontId="49" fillId="25" borderId="36" xfId="79" applyNumberFormat="1" applyFont="1" applyFill="1" applyBorder="1" applyAlignment="1">
      <alignment horizontal="center" vertical="center"/>
    </xf>
    <xf numFmtId="0" fontId="49" fillId="0" borderId="37" xfId="79" applyFont="1" applyBorder="1" applyAlignment="1" applyProtection="1">
      <alignment horizontal="distributed" vertical="center"/>
      <protection locked="0"/>
    </xf>
    <xf numFmtId="0" fontId="49" fillId="0" borderId="27" xfId="79" applyFont="1" applyBorder="1" applyAlignment="1" applyProtection="1">
      <alignment horizontal="center" vertical="center"/>
      <protection locked="0"/>
    </xf>
    <xf numFmtId="41" fontId="51" fillId="0" borderId="27" xfId="56" applyFont="1" applyFill="1" applyBorder="1" applyAlignment="1" applyProtection="1">
      <alignment horizontal="center" vertical="center"/>
      <protection locked="0"/>
    </xf>
    <xf numFmtId="41" fontId="51" fillId="0" borderId="27" xfId="56" applyFont="1" applyBorder="1" applyAlignment="1">
      <alignment horizontal="center" vertical="center"/>
    </xf>
    <xf numFmtId="41" fontId="52" fillId="0" borderId="27" xfId="56" applyFont="1" applyFill="1" applyBorder="1" applyAlignment="1" applyProtection="1">
      <alignment horizontal="center" vertical="center"/>
      <protection locked="0"/>
    </xf>
    <xf numFmtId="41" fontId="52" fillId="0" borderId="27" xfId="56" applyFont="1" applyBorder="1" applyAlignment="1">
      <alignment horizontal="center" vertical="center"/>
    </xf>
    <xf numFmtId="0" fontId="49" fillId="0" borderId="34" xfId="79" applyFont="1" applyBorder="1" applyAlignment="1" applyProtection="1">
      <alignment horizontal="center" vertical="center" wrapText="1"/>
      <protection locked="0"/>
    </xf>
    <xf numFmtId="41" fontId="51" fillId="0" borderId="34" xfId="56" applyFont="1" applyFill="1" applyBorder="1" applyAlignment="1" applyProtection="1">
      <alignment horizontal="center" vertical="center"/>
      <protection locked="0"/>
    </xf>
    <xf numFmtId="41" fontId="51" fillId="0" borderId="34" xfId="56" applyFont="1" applyBorder="1" applyAlignment="1">
      <alignment horizontal="center" vertical="center"/>
    </xf>
    <xf numFmtId="41" fontId="52" fillId="0" borderId="34" xfId="56" applyFont="1" applyFill="1" applyBorder="1" applyAlignment="1" applyProtection="1">
      <alignment horizontal="center" vertical="center"/>
      <protection locked="0"/>
    </xf>
    <xf numFmtId="41" fontId="52" fillId="0" borderId="34" xfId="56" applyFont="1" applyBorder="1" applyAlignment="1">
      <alignment horizontal="center" vertical="center"/>
    </xf>
    <xf numFmtId="0" fontId="49" fillId="0" borderId="0" xfId="79" applyFont="1" applyAlignment="1">
      <alignment vertical="center"/>
    </xf>
    <xf numFmtId="178" fontId="53" fillId="0" borderId="0" xfId="79" applyNumberFormat="1" applyFont="1" applyAlignment="1">
      <alignment horizontal="left" vertical="center" indent="2"/>
    </xf>
    <xf numFmtId="178" fontId="53" fillId="0" borderId="0" xfId="79" applyNumberFormat="1" applyFont="1" applyAlignment="1">
      <alignment horizontal="center" vertical="center"/>
    </xf>
    <xf numFmtId="187" fontId="48" fillId="0" borderId="0" xfId="79" applyNumberFormat="1" applyFont="1" applyBorder="1" applyAlignment="1">
      <alignment horizontal="center" vertical="center"/>
    </xf>
    <xf numFmtId="178" fontId="49" fillId="0" borderId="38" xfId="79" applyNumberFormat="1" applyFont="1" applyFill="1" applyBorder="1" applyAlignment="1">
      <alignment horizontal="center" vertical="center" wrapText="1"/>
    </xf>
    <xf numFmtId="178" fontId="49" fillId="0" borderId="32" xfId="79" applyNumberFormat="1" applyFont="1" applyFill="1" applyBorder="1" applyAlignment="1">
      <alignment horizontal="center" vertical="center" wrapText="1"/>
    </xf>
    <xf numFmtId="178" fontId="49" fillId="0" borderId="29" xfId="79" applyNumberFormat="1" applyFont="1" applyFill="1" applyBorder="1" applyAlignment="1">
      <alignment horizontal="center" vertical="center" wrapText="1"/>
    </xf>
    <xf numFmtId="178" fontId="49" fillId="0" borderId="39" xfId="79" applyNumberFormat="1" applyFont="1" applyFill="1" applyBorder="1" applyAlignment="1">
      <alignment horizontal="center" vertical="center"/>
    </xf>
    <xf numFmtId="0" fontId="52" fillId="0" borderId="27" xfId="79" applyFont="1" applyFill="1" applyBorder="1" applyAlignment="1" applyProtection="1">
      <alignment horizontal="center" vertical="center"/>
      <protection locked="0"/>
    </xf>
    <xf numFmtId="0" fontId="49" fillId="0" borderId="27" xfId="79" applyFont="1" applyFill="1" applyBorder="1" applyAlignment="1" applyProtection="1">
      <alignment horizontal="center" vertical="center"/>
      <protection locked="0"/>
    </xf>
    <xf numFmtId="41" fontId="52" fillId="0" borderId="27" xfId="56" applyFont="1" applyFill="1" applyBorder="1" applyAlignment="1">
      <alignment horizontal="center" vertical="center"/>
    </xf>
    <xf numFmtId="178" fontId="49" fillId="0" borderId="33" xfId="79" applyNumberFormat="1" applyFont="1" applyFill="1" applyBorder="1" applyAlignment="1">
      <alignment horizontal="center" vertical="center"/>
    </xf>
    <xf numFmtId="0" fontId="49" fillId="0" borderId="40" xfId="79" applyFont="1" applyBorder="1" applyAlignment="1" applyProtection="1">
      <alignment horizontal="distributed" vertical="center"/>
      <protection locked="0"/>
    </xf>
    <xf numFmtId="0" fontId="49" fillId="0" borderId="41" xfId="79" applyFont="1" applyFill="1" applyBorder="1" applyAlignment="1" applyProtection="1">
      <alignment horizontal="center" vertical="center"/>
      <protection locked="0"/>
    </xf>
    <xf numFmtId="41" fontId="52" fillId="0" borderId="32" xfId="56" applyFont="1" applyFill="1" applyBorder="1" applyAlignment="1" applyProtection="1">
      <alignment horizontal="center" vertical="center"/>
      <protection locked="0"/>
    </xf>
    <xf numFmtId="0" fontId="50" fillId="26" borderId="42" xfId="79" applyFont="1" applyFill="1" applyBorder="1" applyAlignment="1">
      <alignment horizontal="center" vertical="center"/>
    </xf>
    <xf numFmtId="0" fontId="50" fillId="26" borderId="43" xfId="79" applyFont="1" applyFill="1" applyBorder="1" applyAlignment="1">
      <alignment horizontal="center" vertical="center"/>
    </xf>
    <xf numFmtId="0" fontId="51" fillId="26" borderId="44" xfId="79" applyNumberFormat="1" applyFont="1" applyFill="1" applyBorder="1" applyAlignment="1">
      <alignment horizontal="left" vertical="center" indent="2" shrinkToFit="1"/>
    </xf>
    <xf numFmtId="41" fontId="51" fillId="26" borderId="44" xfId="56" applyFont="1" applyFill="1" applyBorder="1" applyAlignment="1">
      <alignment horizontal="center" vertical="center"/>
    </xf>
    <xf numFmtId="178" fontId="50" fillId="26" borderId="45" xfId="79" applyNumberFormat="1" applyFont="1" applyFill="1" applyBorder="1" applyAlignment="1">
      <alignment horizontal="center" vertical="center"/>
    </xf>
    <xf numFmtId="186" fontId="53" fillId="0" borderId="0" xfId="79" applyNumberFormat="1" applyFont="1" applyAlignment="1">
      <alignment horizontal="left" vertical="center" indent="2"/>
    </xf>
    <xf numFmtId="41" fontId="49" fillId="0" borderId="0" xfId="56" applyFont="1" applyBorder="1" applyAlignment="1">
      <alignment vertical="center"/>
    </xf>
    <xf numFmtId="0" fontId="49" fillId="0" borderId="0" xfId="79" applyFont="1" applyBorder="1" applyAlignment="1">
      <alignment vertical="center"/>
    </xf>
    <xf numFmtId="0" fontId="56" fillId="0" borderId="0" xfId="79" applyFont="1" applyAlignment="1">
      <alignment vertical="center"/>
    </xf>
    <xf numFmtId="41" fontId="49" fillId="0" borderId="0" xfId="56" applyFont="1" applyAlignment="1">
      <alignment vertical="center"/>
    </xf>
    <xf numFmtId="41" fontId="50" fillId="28" borderId="22" xfId="56" applyFont="1" applyFill="1" applyBorder="1" applyAlignment="1">
      <alignment horizontal="center" vertical="center"/>
    </xf>
    <xf numFmtId="41" fontId="50" fillId="28" borderId="46" xfId="56" applyFont="1" applyFill="1" applyBorder="1" applyAlignment="1">
      <alignment horizontal="center" vertical="center"/>
    </xf>
    <xf numFmtId="0" fontId="49" fillId="0" borderId="47" xfId="79" applyFont="1" applyBorder="1" applyAlignment="1">
      <alignment horizontal="center" vertical="center"/>
    </xf>
    <xf numFmtId="41" fontId="49" fillId="0" borderId="47" xfId="56" applyFont="1" applyBorder="1" applyAlignment="1">
      <alignment vertical="center"/>
    </xf>
    <xf numFmtId="41" fontId="52" fillId="0" borderId="48" xfId="56" applyFont="1" applyBorder="1" applyAlignment="1">
      <alignment vertical="center"/>
    </xf>
    <xf numFmtId="0" fontId="52" fillId="0" borderId="48" xfId="56" applyNumberFormat="1" applyFont="1" applyBorder="1" applyAlignment="1">
      <alignment horizontal="center" vertical="center"/>
    </xf>
    <xf numFmtId="0" fontId="49" fillId="0" borderId="27" xfId="79" applyFont="1" applyBorder="1" applyAlignment="1">
      <alignment horizontal="center" vertical="center"/>
    </xf>
    <xf numFmtId="41" fontId="49" fillId="0" borderId="27" xfId="56" applyFont="1" applyBorder="1" applyAlignment="1">
      <alignment vertical="center"/>
    </xf>
    <xf numFmtId="41" fontId="52" fillId="0" borderId="49" xfId="56" applyFont="1" applyBorder="1" applyAlignment="1">
      <alignment vertical="center"/>
    </xf>
    <xf numFmtId="0" fontId="52" fillId="0" borderId="49" xfId="56" applyNumberFormat="1" applyFont="1" applyBorder="1" applyAlignment="1">
      <alignment horizontal="center" vertical="center"/>
    </xf>
    <xf numFmtId="0" fontId="50" fillId="0" borderId="27" xfId="79" applyFont="1" applyBorder="1" applyAlignment="1">
      <alignment horizontal="center" vertical="center"/>
    </xf>
    <xf numFmtId="41" fontId="50" fillId="0" borderId="27" xfId="56" applyFont="1" applyBorder="1" applyAlignment="1">
      <alignment vertical="center"/>
    </xf>
    <xf numFmtId="41" fontId="51" fillId="0" borderId="27" xfId="56" applyFont="1" applyBorder="1" applyAlignment="1">
      <alignment vertical="center"/>
    </xf>
    <xf numFmtId="9" fontId="52" fillId="0" borderId="49" xfId="56" applyNumberFormat="1" applyFont="1" applyBorder="1" applyAlignment="1">
      <alignment horizontal="center" vertical="center"/>
    </xf>
    <xf numFmtId="179" fontId="49" fillId="0" borderId="27" xfId="56" applyNumberFormat="1" applyFont="1" applyBorder="1" applyAlignment="1">
      <alignment vertical="center"/>
    </xf>
    <xf numFmtId="179" fontId="52" fillId="0" borderId="49" xfId="56" applyNumberFormat="1" applyFont="1" applyBorder="1" applyAlignment="1">
      <alignment vertical="center"/>
    </xf>
    <xf numFmtId="10" fontId="49" fillId="0" borderId="49" xfId="79" applyNumberFormat="1" applyFont="1" applyBorder="1" applyAlignment="1">
      <alignment horizontal="center" vertical="center"/>
    </xf>
    <xf numFmtId="10" fontId="49" fillId="0" borderId="28" xfId="79" applyNumberFormat="1" applyFont="1" applyBorder="1" applyAlignment="1">
      <alignment horizontal="center" vertical="center"/>
    </xf>
    <xf numFmtId="10" fontId="49" fillId="0" borderId="50" xfId="79" applyNumberFormat="1" applyFont="1" applyBorder="1" applyAlignment="1">
      <alignment horizontal="center" vertical="center"/>
    </xf>
    <xf numFmtId="0" fontId="49" fillId="0" borderId="49" xfId="79" applyFont="1" applyBorder="1" applyAlignment="1">
      <alignment horizontal="center" vertical="center"/>
    </xf>
    <xf numFmtId="0" fontId="49" fillId="0" borderId="28" xfId="79" applyFont="1" applyBorder="1" applyAlignment="1">
      <alignment horizontal="center" vertical="center"/>
    </xf>
    <xf numFmtId="0" fontId="49" fillId="0" borderId="50" xfId="79" applyFont="1" applyBorder="1" applyAlignment="1">
      <alignment horizontal="center" vertical="center"/>
    </xf>
    <xf numFmtId="41" fontId="50" fillId="0" borderId="49" xfId="56" applyFont="1" applyBorder="1" applyAlignment="1">
      <alignment vertical="center"/>
    </xf>
    <xf numFmtId="179" fontId="49" fillId="0" borderId="49" xfId="56" applyNumberFormat="1" applyFont="1" applyBorder="1" applyAlignment="1">
      <alignment vertical="center"/>
    </xf>
    <xf numFmtId="41" fontId="50" fillId="29" borderId="29" xfId="56" applyFont="1" applyFill="1" applyBorder="1" applyAlignment="1">
      <alignment vertical="center"/>
    </xf>
    <xf numFmtId="41" fontId="51" fillId="29" borderId="29" xfId="56" applyFont="1" applyFill="1" applyBorder="1" applyAlignment="1">
      <alignment vertical="center"/>
    </xf>
    <xf numFmtId="41" fontId="49" fillId="29" borderId="51" xfId="79" applyNumberFormat="1" applyFont="1" applyFill="1" applyBorder="1" applyAlignment="1">
      <alignment vertical="center"/>
    </xf>
    <xf numFmtId="41" fontId="50" fillId="30" borderId="2" xfId="56" applyFont="1" applyFill="1" applyBorder="1" applyAlignment="1">
      <alignment vertical="center"/>
    </xf>
    <xf numFmtId="41" fontId="51" fillId="30" borderId="22" xfId="56" applyFont="1" applyFill="1" applyBorder="1" applyAlignment="1">
      <alignment vertical="center"/>
    </xf>
    <xf numFmtId="41" fontId="51" fillId="30" borderId="22" xfId="56" applyNumberFormat="1" applyFont="1" applyFill="1" applyBorder="1" applyAlignment="1">
      <alignment horizontal="center" vertical="center"/>
    </xf>
    <xf numFmtId="41" fontId="52" fillId="30" borderId="2" xfId="56" applyFont="1" applyFill="1" applyBorder="1" applyAlignment="1">
      <alignment horizontal="center" vertical="center"/>
    </xf>
    <xf numFmtId="41" fontId="49" fillId="30" borderId="52" xfId="79" applyNumberFormat="1" applyFont="1" applyFill="1" applyBorder="1" applyAlignment="1">
      <alignment vertical="center"/>
    </xf>
    <xf numFmtId="0" fontId="49" fillId="0" borderId="0" xfId="79" applyFont="1"/>
    <xf numFmtId="41" fontId="49" fillId="0" borderId="0" xfId="79" applyNumberFormat="1" applyFont="1"/>
    <xf numFmtId="0" fontId="43" fillId="0" borderId="0" xfId="0" applyFont="1" applyAlignment="1">
      <alignment horizontal="center" vertical="center"/>
    </xf>
    <xf numFmtId="0" fontId="59" fillId="0" borderId="0" xfId="0" applyFont="1" applyAlignment="1">
      <alignment horizontal="left" vertical="center"/>
    </xf>
    <xf numFmtId="0" fontId="59" fillId="0" borderId="0" xfId="0" applyFont="1" applyAlignment="1">
      <alignment horizontal="center" vertical="center"/>
    </xf>
    <xf numFmtId="0" fontId="59" fillId="0" borderId="0" xfId="0" applyFont="1" applyAlignment="1">
      <alignment horizontal="right" vertical="center"/>
    </xf>
    <xf numFmtId="0" fontId="59" fillId="0" borderId="53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0" fontId="59" fillId="0" borderId="55" xfId="0" applyFont="1" applyBorder="1" applyAlignment="1">
      <alignment horizontal="center" vertical="center"/>
    </xf>
    <xf numFmtId="0" fontId="59" fillId="27" borderId="55" xfId="0" applyFont="1" applyFill="1" applyBorder="1" applyAlignment="1">
      <alignment horizontal="center" vertical="center"/>
    </xf>
    <xf numFmtId="0" fontId="59" fillId="0" borderId="55" xfId="0" applyFont="1" applyFill="1" applyBorder="1" applyAlignment="1">
      <alignment horizontal="center" vertical="center"/>
    </xf>
    <xf numFmtId="0" fontId="59" fillId="0" borderId="56" xfId="0" applyFont="1" applyBorder="1" applyAlignment="1">
      <alignment horizontal="center" vertical="center"/>
    </xf>
    <xf numFmtId="0" fontId="59" fillId="0" borderId="57" xfId="0" applyFont="1" applyBorder="1" applyAlignment="1">
      <alignment horizontal="center" vertical="center"/>
    </xf>
    <xf numFmtId="0" fontId="59" fillId="0" borderId="58" xfId="0" applyFont="1" applyBorder="1" applyAlignment="1">
      <alignment horizontal="center" vertical="center"/>
    </xf>
    <xf numFmtId="0" fontId="43" fillId="0" borderId="0" xfId="0" applyFont="1">
      <alignment vertical="center"/>
    </xf>
    <xf numFmtId="0" fontId="39" fillId="0" borderId="31" xfId="0" applyFont="1" applyBorder="1" applyAlignment="1">
      <alignment vertical="center"/>
    </xf>
    <xf numFmtId="0" fontId="39" fillId="0" borderId="0" xfId="0" applyFont="1" applyBorder="1" applyAlignment="1">
      <alignment horizontal="left" vertical="center"/>
    </xf>
    <xf numFmtId="0" fontId="39" fillId="0" borderId="0" xfId="0" applyFont="1" applyBorder="1" applyAlignment="1">
      <alignment vertical="center"/>
    </xf>
    <xf numFmtId="0" fontId="47" fillId="0" borderId="0" xfId="0" applyFont="1" applyBorder="1" applyAlignment="1">
      <alignment horizontal="center" vertical="center"/>
    </xf>
    <xf numFmtId="0" fontId="39" fillId="0" borderId="59" xfId="0" applyFont="1" applyBorder="1" applyAlignment="1">
      <alignment vertical="center"/>
    </xf>
    <xf numFmtId="0" fontId="41" fillId="0" borderId="59" xfId="0" applyFont="1" applyBorder="1" applyAlignment="1">
      <alignment vertical="center"/>
    </xf>
    <xf numFmtId="0" fontId="41" fillId="0" borderId="59" xfId="0" applyFont="1" applyBorder="1" applyAlignment="1">
      <alignment horizontal="left" vertical="center"/>
    </xf>
    <xf numFmtId="0" fontId="39" fillId="0" borderId="60" xfId="0" applyFont="1" applyBorder="1" applyAlignment="1">
      <alignment vertical="center"/>
    </xf>
    <xf numFmtId="0" fontId="61" fillId="0" borderId="61" xfId="0" applyFont="1" applyBorder="1" applyAlignment="1">
      <alignment horizontal="center" vertical="center"/>
    </xf>
    <xf numFmtId="1" fontId="61" fillId="0" borderId="61" xfId="0" applyNumberFormat="1" applyFont="1" applyBorder="1" applyAlignment="1">
      <alignment vertical="center"/>
    </xf>
    <xf numFmtId="0" fontId="61" fillId="0" borderId="61" xfId="0" applyFont="1" applyBorder="1" applyAlignment="1">
      <alignment vertical="center"/>
    </xf>
    <xf numFmtId="0" fontId="61" fillId="0" borderId="62" xfId="0" applyFont="1" applyBorder="1" applyAlignment="1">
      <alignment vertical="center"/>
    </xf>
    <xf numFmtId="0" fontId="39" fillId="0" borderId="0" xfId="0" applyFont="1" applyAlignment="1"/>
    <xf numFmtId="0" fontId="61" fillId="0" borderId="0" xfId="0" applyFont="1" applyBorder="1" applyAlignment="1"/>
    <xf numFmtId="0" fontId="39" fillId="0" borderId="0" xfId="0" applyFont="1" applyBorder="1" applyAlignment="1"/>
    <xf numFmtId="0" fontId="61" fillId="0" borderId="0" xfId="0" applyFont="1" applyAlignment="1"/>
    <xf numFmtId="0" fontId="39" fillId="0" borderId="0" xfId="75" applyFont="1" applyAlignment="1">
      <alignment vertical="center"/>
    </xf>
    <xf numFmtId="0" fontId="39" fillId="0" borderId="17" xfId="75" applyFont="1" applyBorder="1" applyAlignment="1">
      <alignment vertical="center"/>
    </xf>
    <xf numFmtId="0" fontId="39" fillId="0" borderId="0" xfId="75" applyFont="1" applyBorder="1" applyAlignment="1">
      <alignment vertical="center"/>
    </xf>
    <xf numFmtId="0" fontId="39" fillId="0" borderId="18" xfId="75" applyFont="1" applyBorder="1" applyAlignment="1">
      <alignment vertical="center"/>
    </xf>
    <xf numFmtId="0" fontId="55" fillId="0" borderId="0" xfId="75" applyFont="1" applyAlignment="1">
      <alignment vertical="center"/>
    </xf>
    <xf numFmtId="0" fontId="64" fillId="0" borderId="17" xfId="75" applyFont="1" applyBorder="1" applyAlignment="1">
      <alignment horizontal="left" vertical="center"/>
    </xf>
    <xf numFmtId="0" fontId="64" fillId="0" borderId="0" xfId="75" applyFont="1" applyBorder="1" applyAlignment="1">
      <alignment horizontal="center" vertical="center"/>
    </xf>
    <xf numFmtId="0" fontId="64" fillId="0" borderId="18" xfId="75" applyFont="1" applyBorder="1" applyAlignment="1">
      <alignment horizontal="center" vertical="center"/>
    </xf>
    <xf numFmtId="0" fontId="66" fillId="0" borderId="17" xfId="75" applyFont="1" applyBorder="1" applyAlignment="1">
      <alignment horizontal="center" vertical="center"/>
    </xf>
    <xf numFmtId="0" fontId="66" fillId="0" borderId="0" xfId="75" applyFont="1" applyBorder="1" applyAlignment="1">
      <alignment horizontal="center" vertical="center"/>
    </xf>
    <xf numFmtId="0" fontId="66" fillId="0" borderId="18" xfId="75" applyFont="1" applyBorder="1" applyAlignment="1">
      <alignment horizontal="center" vertical="center"/>
    </xf>
    <xf numFmtId="0" fontId="55" fillId="0" borderId="17" xfId="75" applyFont="1" applyBorder="1" applyAlignment="1">
      <alignment vertical="center"/>
    </xf>
    <xf numFmtId="0" fontId="55" fillId="0" borderId="0" xfId="75" applyFont="1" applyBorder="1" applyAlignment="1">
      <alignment vertical="center"/>
    </xf>
    <xf numFmtId="0" fontId="55" fillId="0" borderId="18" xfId="75" applyFont="1" applyBorder="1" applyAlignment="1">
      <alignment vertical="center"/>
    </xf>
    <xf numFmtId="0" fontId="41" fillId="0" borderId="17" xfId="75" applyFont="1" applyBorder="1" applyAlignment="1">
      <alignment horizontal="center" vertical="center"/>
    </xf>
    <xf numFmtId="0" fontId="39" fillId="0" borderId="0" xfId="75" applyFont="1" applyBorder="1" applyAlignment="1">
      <alignment horizontal="center" vertical="center" wrapText="1"/>
    </xf>
    <xf numFmtId="0" fontId="41" fillId="0" borderId="18" xfId="75" applyFont="1" applyBorder="1" applyAlignment="1">
      <alignment horizontal="center" vertical="center"/>
    </xf>
    <xf numFmtId="0" fontId="62" fillId="0" borderId="0" xfId="75" applyFont="1" applyBorder="1" applyAlignment="1">
      <alignment vertical="center"/>
    </xf>
    <xf numFmtId="0" fontId="62" fillId="0" borderId="17" xfId="75" applyFont="1" applyBorder="1" applyAlignment="1">
      <alignment vertical="center"/>
    </xf>
    <xf numFmtId="0" fontId="67" fillId="0" borderId="0" xfId="75" applyFont="1" applyBorder="1" applyAlignment="1">
      <alignment vertical="center"/>
    </xf>
    <xf numFmtId="188" fontId="67" fillId="0" borderId="0" xfId="75" applyNumberFormat="1" applyFont="1" applyBorder="1" applyAlignment="1">
      <alignment vertical="center"/>
    </xf>
    <xf numFmtId="0" fontId="38" fillId="0" borderId="0" xfId="75" applyFont="1" applyBorder="1" applyAlignment="1">
      <alignment vertical="center"/>
    </xf>
    <xf numFmtId="2" fontId="62" fillId="0" borderId="0" xfId="75" applyNumberFormat="1" applyFont="1" applyBorder="1" applyAlignment="1">
      <alignment vertical="center"/>
    </xf>
    <xf numFmtId="41" fontId="62" fillId="0" borderId="0" xfId="75" applyNumberFormat="1" applyFont="1" applyBorder="1" applyAlignment="1">
      <alignment vertical="center"/>
    </xf>
    <xf numFmtId="0" fontId="62" fillId="0" borderId="0" xfId="75" applyFont="1" applyBorder="1" applyAlignment="1">
      <alignment horizontal="left" vertical="center"/>
    </xf>
    <xf numFmtId="0" fontId="39" fillId="0" borderId="0" xfId="75" applyFont="1" applyBorder="1" applyAlignment="1">
      <alignment horizontal="left" vertical="center"/>
    </xf>
    <xf numFmtId="2" fontId="67" fillId="0" borderId="0" xfId="75" applyNumberFormat="1" applyFont="1" applyBorder="1" applyAlignment="1">
      <alignment horizontal="right" vertical="center"/>
    </xf>
    <xf numFmtId="185" fontId="62" fillId="0" borderId="0" xfId="75" applyNumberFormat="1" applyFont="1" applyBorder="1" applyAlignment="1">
      <alignment horizontal="right" vertical="center" shrinkToFit="1"/>
    </xf>
    <xf numFmtId="42" fontId="62" fillId="0" borderId="0" xfId="75" applyNumberFormat="1" applyFont="1" applyBorder="1" applyAlignment="1">
      <alignment vertical="center" shrinkToFit="1"/>
    </xf>
    <xf numFmtId="41" fontId="51" fillId="26" borderId="63" xfId="56" applyFont="1" applyFill="1" applyBorder="1" applyAlignment="1">
      <alignment horizontal="center" vertical="center"/>
    </xf>
    <xf numFmtId="178" fontId="49" fillId="25" borderId="64" xfId="79" applyNumberFormat="1" applyFont="1" applyFill="1" applyBorder="1" applyAlignment="1">
      <alignment horizontal="center" vertical="center" wrapText="1"/>
    </xf>
    <xf numFmtId="41" fontId="52" fillId="0" borderId="65" xfId="56" applyFont="1" applyFill="1" applyBorder="1" applyAlignment="1" applyProtection="1">
      <alignment horizontal="center" vertical="center"/>
      <protection locked="0"/>
    </xf>
    <xf numFmtId="41" fontId="52" fillId="0" borderId="41" xfId="56" applyFont="1" applyFill="1" applyBorder="1" applyAlignment="1" applyProtection="1">
      <alignment horizontal="center" vertical="center"/>
      <protection locked="0"/>
    </xf>
    <xf numFmtId="41" fontId="51" fillId="26" borderId="43" xfId="56" applyFont="1" applyFill="1" applyBorder="1" applyAlignment="1">
      <alignment horizontal="center" vertical="center"/>
    </xf>
    <xf numFmtId="178" fontId="49" fillId="25" borderId="66" xfId="79" applyNumberFormat="1" applyFont="1" applyFill="1" applyBorder="1" applyAlignment="1">
      <alignment horizontal="center" vertical="center" wrapText="1"/>
    </xf>
    <xf numFmtId="41" fontId="50" fillId="25" borderId="67" xfId="79" applyNumberFormat="1" applyFont="1" applyFill="1" applyBorder="1" applyAlignment="1">
      <alignment horizontal="center" vertical="center"/>
    </xf>
    <xf numFmtId="41" fontId="51" fillId="0" borderId="68" xfId="56" applyFont="1" applyFill="1" applyBorder="1" applyAlignment="1" applyProtection="1">
      <alignment horizontal="center" vertical="center"/>
      <protection locked="0"/>
    </xf>
    <xf numFmtId="41" fontId="51" fillId="0" borderId="69" xfId="56" applyFont="1" applyBorder="1" applyAlignment="1">
      <alignment horizontal="center" vertical="center"/>
    </xf>
    <xf numFmtId="41" fontId="51" fillId="0" borderId="69" xfId="56" applyFont="1" applyFill="1" applyBorder="1" applyAlignment="1">
      <alignment horizontal="center" vertical="center"/>
    </xf>
    <xf numFmtId="41" fontId="51" fillId="0" borderId="70" xfId="56" applyFont="1" applyFill="1" applyBorder="1" applyAlignment="1" applyProtection="1">
      <alignment horizontal="center" vertical="center"/>
      <protection locked="0"/>
    </xf>
    <xf numFmtId="41" fontId="51" fillId="26" borderId="71" xfId="56" applyFont="1" applyFill="1" applyBorder="1" applyAlignment="1">
      <alignment horizontal="center" vertical="center"/>
    </xf>
    <xf numFmtId="41" fontId="51" fillId="26" borderId="72" xfId="56" applyFont="1" applyFill="1" applyBorder="1" applyAlignment="1">
      <alignment horizontal="center" vertical="center"/>
    </xf>
    <xf numFmtId="0" fontId="71" fillId="0" borderId="3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left" vertical="center" wrapText="1" indent="1"/>
    </xf>
    <xf numFmtId="190" fontId="71" fillId="0" borderId="3" xfId="0" applyNumberFormat="1" applyFont="1" applyBorder="1" applyAlignment="1">
      <alignment horizontal="center" vertical="center" wrapText="1"/>
    </xf>
    <xf numFmtId="41" fontId="70" fillId="0" borderId="3" xfId="56" applyFont="1" applyBorder="1" applyAlignment="1">
      <alignment horizontal="center" vertical="center" wrapText="1"/>
    </xf>
    <xf numFmtId="41" fontId="71" fillId="0" borderId="3" xfId="56" applyFont="1" applyBorder="1" applyAlignment="1">
      <alignment horizontal="center" vertical="center" wrapText="1"/>
    </xf>
    <xf numFmtId="41" fontId="0" fillId="0" borderId="0" xfId="56" applyFont="1">
      <alignment vertical="center"/>
    </xf>
    <xf numFmtId="10" fontId="51" fillId="0" borderId="49" xfId="56" applyNumberFormat="1" applyFont="1" applyBorder="1" applyAlignment="1">
      <alignment horizontal="center" vertical="center"/>
    </xf>
    <xf numFmtId="10" fontId="51" fillId="29" borderId="73" xfId="56" applyNumberFormat="1" applyFont="1" applyFill="1" applyBorder="1" applyAlignment="1">
      <alignment horizontal="center" vertical="center"/>
    </xf>
    <xf numFmtId="10" fontId="72" fillId="0" borderId="0" xfId="79" applyNumberFormat="1" applyFont="1" applyAlignment="1">
      <alignment vertical="center"/>
    </xf>
    <xf numFmtId="0" fontId="72" fillId="0" borderId="0" xfId="79" applyFont="1" applyAlignment="1">
      <alignment vertical="center"/>
    </xf>
    <xf numFmtId="0" fontId="72" fillId="0" borderId="0" xfId="79" applyFont="1" applyAlignment="1">
      <alignment horizontal="right" vertical="center"/>
    </xf>
    <xf numFmtId="0" fontId="73" fillId="0" borderId="0" xfId="79" applyFont="1"/>
    <xf numFmtId="10" fontId="74" fillId="0" borderId="50" xfId="79" applyNumberFormat="1" applyFont="1" applyBorder="1" applyAlignment="1">
      <alignment horizontal="center" vertical="center"/>
    </xf>
    <xf numFmtId="41" fontId="75" fillId="0" borderId="49" xfId="56" applyFont="1" applyBorder="1" applyAlignment="1">
      <alignment horizontal="center" vertical="center"/>
    </xf>
    <xf numFmtId="41" fontId="75" fillId="0" borderId="49" xfId="56" applyFont="1" applyFill="1" applyBorder="1" applyAlignment="1">
      <alignment horizontal="center" vertical="center"/>
    </xf>
    <xf numFmtId="0" fontId="38" fillId="0" borderId="0" xfId="75" applyFont="1" applyAlignment="1"/>
    <xf numFmtId="0" fontId="76" fillId="0" borderId="0" xfId="0" applyFont="1" applyFill="1">
      <alignment vertical="center"/>
    </xf>
    <xf numFmtId="0" fontId="76" fillId="0" borderId="0" xfId="0" applyFont="1">
      <alignment vertical="center"/>
    </xf>
    <xf numFmtId="0" fontId="0" fillId="0" borderId="0" xfId="0" applyBorder="1">
      <alignment vertical="center"/>
    </xf>
    <xf numFmtId="0" fontId="39" fillId="0" borderId="0" xfId="0" applyFont="1" applyBorder="1" applyAlignment="1">
      <alignment horizontal="right" vertical="center"/>
    </xf>
    <xf numFmtId="41" fontId="39" fillId="0" borderId="0" xfId="75" applyNumberFormat="1" applyFont="1" applyAlignment="1">
      <alignment vertical="center"/>
    </xf>
    <xf numFmtId="41" fontId="41" fillId="0" borderId="28" xfId="58" applyNumberFormat="1" applyFont="1" applyFill="1" applyBorder="1" applyAlignment="1">
      <alignment horizontal="right" vertical="center"/>
    </xf>
    <xf numFmtId="178" fontId="62" fillId="0" borderId="0" xfId="56" applyNumberFormat="1" applyFont="1" applyBorder="1" applyAlignment="1">
      <alignment horizontal="right" vertical="center"/>
    </xf>
    <xf numFmtId="0" fontId="62" fillId="0" borderId="0" xfId="75" applyFont="1" applyAlignment="1">
      <alignment vertical="center"/>
    </xf>
    <xf numFmtId="41" fontId="68" fillId="0" borderId="49" xfId="56" applyFont="1" applyFill="1" applyBorder="1" applyAlignment="1">
      <alignment horizontal="center" vertical="center"/>
    </xf>
    <xf numFmtId="41" fontId="68" fillId="0" borderId="74" xfId="56" applyFont="1" applyFill="1" applyBorder="1" applyAlignment="1">
      <alignment horizontal="center" vertical="center"/>
    </xf>
    <xf numFmtId="0" fontId="52" fillId="0" borderId="32" xfId="79" applyFont="1" applyFill="1" applyBorder="1" applyAlignment="1" applyProtection="1">
      <alignment horizontal="center" vertical="center"/>
      <protection locked="0"/>
    </xf>
    <xf numFmtId="41" fontId="51" fillId="0" borderId="75" xfId="56" applyFont="1" applyFill="1" applyBorder="1" applyAlignment="1">
      <alignment horizontal="center" vertical="center"/>
    </xf>
    <xf numFmtId="41" fontId="52" fillId="0" borderId="32" xfId="56" applyFont="1" applyFill="1" applyBorder="1" applyAlignment="1">
      <alignment horizontal="center" vertical="center"/>
    </xf>
    <xf numFmtId="178" fontId="49" fillId="0" borderId="76" xfId="79" applyNumberFormat="1" applyFont="1" applyFill="1" applyBorder="1" applyAlignment="1">
      <alignment horizontal="center" vertical="center"/>
    </xf>
    <xf numFmtId="0" fontId="49" fillId="0" borderId="65" xfId="79" applyFont="1" applyFill="1" applyBorder="1" applyAlignment="1" applyProtection="1">
      <alignment horizontal="center" vertical="center"/>
      <protection locked="0"/>
    </xf>
    <xf numFmtId="0" fontId="49" fillId="0" borderId="27" xfId="79" applyFont="1" applyBorder="1" applyAlignment="1" applyProtection="1">
      <alignment horizontal="center" vertical="center" wrapText="1"/>
      <protection locked="0"/>
    </xf>
    <xf numFmtId="0" fontId="49" fillId="0" borderId="35" xfId="79" applyFont="1" applyBorder="1" applyAlignment="1" applyProtection="1">
      <alignment horizontal="distributed" vertical="center"/>
      <protection locked="0"/>
    </xf>
    <xf numFmtId="178" fontId="49" fillId="0" borderId="35" xfId="79" applyNumberFormat="1" applyFont="1" applyBorder="1" applyAlignment="1">
      <alignment horizontal="center" vertical="center"/>
    </xf>
    <xf numFmtId="0" fontId="49" fillId="0" borderId="26" xfId="79" applyFont="1" applyBorder="1" applyAlignment="1" applyProtection="1">
      <alignment horizontal="distributed" vertical="center"/>
      <protection locked="0"/>
    </xf>
    <xf numFmtId="178" fontId="49" fillId="0" borderId="50" xfId="79" applyNumberFormat="1" applyFont="1" applyBorder="1" applyAlignment="1">
      <alignment horizontal="center" vertical="center"/>
    </xf>
    <xf numFmtId="0" fontId="49" fillId="0" borderId="77" xfId="79" applyFont="1" applyBorder="1" applyAlignment="1" applyProtection="1">
      <alignment horizontal="center" vertical="center"/>
      <protection locked="0"/>
    </xf>
    <xf numFmtId="41" fontId="51" fillId="0" borderId="77" xfId="56" applyFont="1" applyFill="1" applyBorder="1" applyAlignment="1" applyProtection="1">
      <alignment horizontal="center" vertical="center"/>
      <protection locked="0"/>
    </xf>
    <xf numFmtId="41" fontId="51" fillId="0" borderId="77" xfId="56" applyFont="1" applyBorder="1" applyAlignment="1">
      <alignment horizontal="center" vertical="center"/>
    </xf>
    <xf numFmtId="41" fontId="52" fillId="0" borderId="77" xfId="56" applyFont="1" applyFill="1" applyBorder="1" applyAlignment="1" applyProtection="1">
      <alignment horizontal="center" vertical="center"/>
      <protection locked="0"/>
    </xf>
    <xf numFmtId="41" fontId="52" fillId="0" borderId="77" xfId="56" applyFont="1" applyBorder="1" applyAlignment="1">
      <alignment horizontal="center" vertical="center"/>
    </xf>
    <xf numFmtId="0" fontId="39" fillId="0" borderId="3" xfId="0" applyFont="1" applyBorder="1" applyAlignment="1">
      <alignment horizontal="center" vertical="center" wrapText="1"/>
    </xf>
    <xf numFmtId="190" fontId="39" fillId="0" borderId="3" xfId="0" applyNumberFormat="1" applyFont="1" applyBorder="1" applyAlignment="1">
      <alignment horizontal="center" vertical="center" wrapText="1"/>
    </xf>
    <xf numFmtId="0" fontId="39" fillId="0" borderId="3" xfId="0" applyFont="1" applyBorder="1" applyAlignment="1">
      <alignment horizontal="left" vertical="center" wrapText="1" indent="1"/>
    </xf>
    <xf numFmtId="0" fontId="0" fillId="0" borderId="17" xfId="0" applyBorder="1">
      <alignment vertical="center"/>
    </xf>
    <xf numFmtId="10" fontId="0" fillId="0" borderId="0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4" xfId="0" applyBorder="1">
      <alignment vertical="center"/>
    </xf>
    <xf numFmtId="10" fontId="0" fillId="0" borderId="4" xfId="0" applyNumberFormat="1" applyBorder="1">
      <alignment vertical="center"/>
    </xf>
    <xf numFmtId="0" fontId="0" fillId="0" borderId="20" xfId="0" applyBorder="1">
      <alignment vertical="center"/>
    </xf>
    <xf numFmtId="0" fontId="0" fillId="0" borderId="116" xfId="0" applyBorder="1" applyAlignment="1">
      <alignment horizontal="center" vertical="center"/>
    </xf>
    <xf numFmtId="0" fontId="0" fillId="0" borderId="117" xfId="0" applyBorder="1" applyAlignment="1">
      <alignment horizontal="center" vertical="center"/>
    </xf>
    <xf numFmtId="0" fontId="0" fillId="0" borderId="118" xfId="0" applyBorder="1" applyAlignment="1">
      <alignment horizontal="center" vertical="center"/>
    </xf>
    <xf numFmtId="10" fontId="49" fillId="0" borderId="49" xfId="79" applyNumberFormat="1" applyFont="1" applyBorder="1" applyAlignment="1">
      <alignment horizontal="center" vertical="center"/>
    </xf>
    <xf numFmtId="10" fontId="49" fillId="0" borderId="28" xfId="79" applyNumberFormat="1" applyFont="1" applyBorder="1" applyAlignment="1">
      <alignment horizontal="center" vertical="center"/>
    </xf>
    <xf numFmtId="10" fontId="49" fillId="0" borderId="50" xfId="79" applyNumberFormat="1" applyFont="1" applyBorder="1" applyAlignment="1">
      <alignment horizontal="center" vertical="center"/>
    </xf>
    <xf numFmtId="191" fontId="49" fillId="0" borderId="50" xfId="79" applyNumberFormat="1" applyFont="1" applyBorder="1" applyAlignment="1">
      <alignment horizontal="center" vertical="center"/>
    </xf>
    <xf numFmtId="191" fontId="0" fillId="0" borderId="0" xfId="0" applyNumberFormat="1" applyBorder="1">
      <alignment vertical="center"/>
    </xf>
    <xf numFmtId="0" fontId="63" fillId="0" borderId="17" xfId="75" applyFont="1" applyBorder="1" applyAlignment="1">
      <alignment horizontal="center" vertical="center"/>
    </xf>
    <xf numFmtId="0" fontId="63" fillId="0" borderId="0" xfId="75" applyFont="1" applyBorder="1" applyAlignment="1">
      <alignment horizontal="center" vertical="center"/>
    </xf>
    <xf numFmtId="0" fontId="63" fillId="0" borderId="18" xfId="75" applyFont="1" applyBorder="1" applyAlignment="1">
      <alignment horizontal="center" vertical="center"/>
    </xf>
    <xf numFmtId="0" fontId="65" fillId="0" borderId="17" xfId="75" applyFont="1" applyBorder="1" applyAlignment="1">
      <alignment horizontal="center" vertical="center"/>
    </xf>
    <xf numFmtId="0" fontId="65" fillId="0" borderId="0" xfId="75" applyFont="1" applyBorder="1" applyAlignment="1">
      <alignment horizontal="center" vertical="center"/>
    </xf>
    <xf numFmtId="0" fontId="65" fillId="0" borderId="18" xfId="75" applyFont="1" applyBorder="1" applyAlignment="1">
      <alignment horizontal="center" vertical="center"/>
    </xf>
    <xf numFmtId="0" fontId="66" fillId="0" borderId="17" xfId="75" applyFont="1" applyBorder="1" applyAlignment="1">
      <alignment horizontal="left" vertical="center"/>
    </xf>
    <xf numFmtId="0" fontId="66" fillId="0" borderId="0" xfId="75" applyFont="1" applyBorder="1" applyAlignment="1">
      <alignment horizontal="left" vertical="center"/>
    </xf>
    <xf numFmtId="0" fontId="66" fillId="0" borderId="18" xfId="75" applyFont="1" applyBorder="1" applyAlignment="1">
      <alignment horizontal="left" vertical="center"/>
    </xf>
    <xf numFmtId="0" fontId="63" fillId="0" borderId="17" xfId="75" applyFont="1" applyBorder="1" applyAlignment="1">
      <alignment horizontal="center"/>
    </xf>
    <xf numFmtId="0" fontId="63" fillId="0" borderId="0" xfId="75" applyFont="1" applyBorder="1" applyAlignment="1">
      <alignment horizontal="center"/>
    </xf>
    <xf numFmtId="0" fontId="63" fillId="0" borderId="18" xfId="75" applyFont="1" applyBorder="1" applyAlignment="1">
      <alignment horizontal="center"/>
    </xf>
    <xf numFmtId="0" fontId="60" fillId="0" borderId="17" xfId="75" applyFont="1" applyBorder="1" applyAlignment="1">
      <alignment horizontal="center" vertical="center"/>
    </xf>
    <xf numFmtId="0" fontId="60" fillId="0" borderId="0" xfId="75" applyFont="1" applyBorder="1" applyAlignment="1">
      <alignment horizontal="center" vertical="center"/>
    </xf>
    <xf numFmtId="0" fontId="60" fillId="0" borderId="18" xfId="75" applyFont="1" applyBorder="1" applyAlignment="1">
      <alignment horizontal="center" vertical="center"/>
    </xf>
    <xf numFmtId="0" fontId="46" fillId="0" borderId="17" xfId="75" applyFont="1" applyBorder="1" applyAlignment="1">
      <alignment horizontal="center" vertical="center"/>
    </xf>
    <xf numFmtId="0" fontId="46" fillId="0" borderId="0" xfId="75" applyFont="1" applyBorder="1" applyAlignment="1">
      <alignment horizontal="center" vertical="center"/>
    </xf>
    <xf numFmtId="0" fontId="46" fillId="0" borderId="18" xfId="75" applyFont="1" applyBorder="1" applyAlignment="1">
      <alignment horizontal="center" vertical="center"/>
    </xf>
    <xf numFmtId="0" fontId="42" fillId="0" borderId="19" xfId="75" applyFont="1" applyBorder="1" applyAlignment="1">
      <alignment horizontal="center" vertical="center"/>
    </xf>
    <xf numFmtId="0" fontId="42" fillId="0" borderId="4" xfId="75" applyFont="1" applyBorder="1" applyAlignment="1">
      <alignment horizontal="center" vertical="center"/>
    </xf>
    <xf numFmtId="0" fontId="42" fillId="0" borderId="20" xfId="75" applyFont="1" applyBorder="1" applyAlignment="1">
      <alignment horizontal="center" vertical="center"/>
    </xf>
    <xf numFmtId="0" fontId="41" fillId="0" borderId="80" xfId="75" applyFont="1" applyBorder="1" applyAlignment="1">
      <alignment horizontal="center" vertical="center"/>
    </xf>
    <xf numFmtId="0" fontId="41" fillId="0" borderId="3" xfId="75" applyFont="1" applyBorder="1" applyAlignment="1">
      <alignment horizontal="center" vertical="center"/>
    </xf>
    <xf numFmtId="0" fontId="39" fillId="0" borderId="81" xfId="75" applyFont="1" applyBorder="1" applyAlignment="1">
      <alignment horizontal="center" vertical="center" wrapText="1"/>
    </xf>
    <xf numFmtId="0" fontId="39" fillId="0" borderId="82" xfId="75" applyFont="1" applyBorder="1" applyAlignment="1">
      <alignment horizontal="center" vertical="center" wrapText="1"/>
    </xf>
    <xf numFmtId="0" fontId="39" fillId="0" borderId="31" xfId="75" applyFont="1" applyBorder="1" applyAlignment="1">
      <alignment horizontal="center" vertical="center" wrapText="1"/>
    </xf>
    <xf numFmtId="0" fontId="39" fillId="0" borderId="59" xfId="75" applyFont="1" applyBorder="1" applyAlignment="1">
      <alignment horizontal="center" vertical="center" wrapText="1"/>
    </xf>
    <xf numFmtId="0" fontId="39" fillId="0" borderId="60" xfId="75" applyFont="1" applyBorder="1" applyAlignment="1">
      <alignment horizontal="center" vertical="center" wrapText="1"/>
    </xf>
    <xf numFmtId="0" fontId="39" fillId="0" borderId="62" xfId="75" applyFont="1" applyBorder="1" applyAlignment="1">
      <alignment horizontal="center" vertical="center" wrapText="1"/>
    </xf>
    <xf numFmtId="0" fontId="41" fillId="0" borderId="83" xfId="75" applyFont="1" applyBorder="1" applyAlignment="1">
      <alignment horizontal="center" vertical="center"/>
    </xf>
    <xf numFmtId="0" fontId="41" fillId="0" borderId="84" xfId="75" applyFont="1" applyBorder="1" applyAlignment="1">
      <alignment horizontal="center" vertical="center"/>
    </xf>
    <xf numFmtId="0" fontId="41" fillId="0" borderId="78" xfId="75" applyFont="1" applyBorder="1" applyAlignment="1">
      <alignment horizontal="center" vertical="center"/>
    </xf>
    <xf numFmtId="0" fontId="41" fillId="0" borderId="79" xfId="75" applyFont="1" applyBorder="1" applyAlignment="1">
      <alignment horizontal="center" vertical="center"/>
    </xf>
    <xf numFmtId="0" fontId="41" fillId="0" borderId="81" xfId="75" applyFont="1" applyBorder="1" applyAlignment="1">
      <alignment horizontal="center" vertical="center"/>
    </xf>
    <xf numFmtId="0" fontId="41" fillId="0" borderId="31" xfId="75" applyFont="1" applyBorder="1" applyAlignment="1">
      <alignment horizontal="center" vertical="center"/>
    </xf>
    <xf numFmtId="0" fontId="41" fillId="0" borderId="60" xfId="75" applyFont="1" applyBorder="1" applyAlignment="1">
      <alignment horizontal="center" vertical="center"/>
    </xf>
    <xf numFmtId="0" fontId="60" fillId="0" borderId="23" xfId="0" applyFont="1" applyBorder="1" applyAlignment="1">
      <alignment horizontal="center" vertical="center"/>
    </xf>
    <xf numFmtId="0" fontId="60" fillId="0" borderId="25" xfId="0" applyFont="1" applyBorder="1" applyAlignment="1">
      <alignment horizontal="center" vertical="center"/>
    </xf>
    <xf numFmtId="0" fontId="60" fillId="0" borderId="85" xfId="0" applyFont="1" applyBorder="1" applyAlignment="1">
      <alignment horizontal="center" vertical="center"/>
    </xf>
    <xf numFmtId="0" fontId="39" fillId="0" borderId="0" xfId="0" applyFont="1" applyBorder="1" applyAlignment="1">
      <alignment horizontal="left" vertical="center" wrapText="1"/>
    </xf>
    <xf numFmtId="0" fontId="39" fillId="0" borderId="59" xfId="0" applyFont="1" applyBorder="1" applyAlignment="1">
      <alignment horizontal="left" vertical="center" wrapText="1"/>
    </xf>
    <xf numFmtId="0" fontId="61" fillId="0" borderId="61" xfId="0" applyFont="1" applyBorder="1" applyAlignment="1">
      <alignment horizontal="center" vertical="center"/>
    </xf>
    <xf numFmtId="0" fontId="61" fillId="0" borderId="61" xfId="0" applyFont="1" applyBorder="1" applyAlignment="1">
      <alignment horizontal="left" vertical="center"/>
    </xf>
    <xf numFmtId="0" fontId="44" fillId="0" borderId="0" xfId="0" applyFont="1" applyAlignment="1">
      <alignment horizontal="center" vertical="center"/>
    </xf>
    <xf numFmtId="0" fontId="59" fillId="0" borderId="54" xfId="0" applyFont="1" applyBorder="1" applyAlignment="1">
      <alignment horizontal="center" vertical="center" wrapText="1"/>
    </xf>
    <xf numFmtId="0" fontId="59" fillId="0" borderId="55" xfId="0" applyFont="1" applyBorder="1" applyAlignment="1">
      <alignment horizontal="center" vertical="center"/>
    </xf>
    <xf numFmtId="0" fontId="59" fillId="0" borderId="56" xfId="0" applyFont="1" applyBorder="1" applyAlignment="1">
      <alignment horizontal="center" vertical="center"/>
    </xf>
    <xf numFmtId="0" fontId="59" fillId="0" borderId="57" xfId="0" applyFont="1" applyBorder="1" applyAlignment="1">
      <alignment horizontal="center" vertical="center"/>
    </xf>
    <xf numFmtId="0" fontId="59" fillId="0" borderId="58" xfId="0" applyFont="1" applyBorder="1" applyAlignment="1">
      <alignment horizontal="center" vertical="center"/>
    </xf>
    <xf numFmtId="0" fontId="58" fillId="0" borderId="0" xfId="79" applyFont="1" applyAlignment="1">
      <alignment horizontal="center" vertical="center"/>
    </xf>
    <xf numFmtId="0" fontId="50" fillId="28" borderId="86" xfId="79" applyFont="1" applyFill="1" applyBorder="1" applyAlignment="1">
      <alignment horizontal="left" vertical="center"/>
    </xf>
    <xf numFmtId="0" fontId="49" fillId="28" borderId="87" xfId="0" applyFont="1" applyFill="1" applyBorder="1" applyAlignment="1">
      <alignment horizontal="left" vertical="center"/>
    </xf>
    <xf numFmtId="0" fontId="49" fillId="28" borderId="88" xfId="0" applyFont="1" applyFill="1" applyBorder="1" applyAlignment="1">
      <alignment horizontal="left" vertical="center"/>
    </xf>
    <xf numFmtId="0" fontId="49" fillId="0" borderId="89" xfId="79" applyFont="1" applyBorder="1" applyAlignment="1">
      <alignment horizontal="center" vertical="center" wrapText="1"/>
    </xf>
    <xf numFmtId="0" fontId="49" fillId="0" borderId="40" xfId="79" applyFont="1" applyBorder="1" applyAlignment="1">
      <alignment horizontal="center" vertical="center" wrapText="1"/>
    </xf>
    <xf numFmtId="0" fontId="49" fillId="0" borderId="90" xfId="79" applyFont="1" applyBorder="1" applyAlignment="1">
      <alignment horizontal="center" vertical="center" wrapText="1"/>
    </xf>
    <xf numFmtId="0" fontId="49" fillId="0" borderId="24" xfId="79" applyFont="1" applyBorder="1" applyAlignment="1">
      <alignment horizontal="center" vertical="center" wrapText="1"/>
    </xf>
    <xf numFmtId="0" fontId="49" fillId="0" borderId="32" xfId="79" applyFont="1" applyBorder="1" applyAlignment="1">
      <alignment horizontal="center" vertical="center" wrapText="1"/>
    </xf>
    <xf numFmtId="0" fontId="49" fillId="0" borderId="47" xfId="79" applyFont="1" applyBorder="1" applyAlignment="1">
      <alignment horizontal="center" vertical="center" wrapText="1"/>
    </xf>
    <xf numFmtId="0" fontId="49" fillId="0" borderId="29" xfId="79" applyFont="1" applyBorder="1" applyAlignment="1">
      <alignment horizontal="center" vertical="center" wrapText="1"/>
    </xf>
    <xf numFmtId="0" fontId="50" fillId="28" borderId="46" xfId="79" applyFont="1" applyFill="1" applyBorder="1" applyAlignment="1">
      <alignment horizontal="center" vertical="center"/>
    </xf>
    <xf numFmtId="0" fontId="50" fillId="28" borderId="2" xfId="79" applyFont="1" applyFill="1" applyBorder="1" applyAlignment="1">
      <alignment horizontal="center" vertical="center"/>
    </xf>
    <xf numFmtId="0" fontId="50" fillId="28" borderId="52" xfId="79" applyFont="1" applyFill="1" applyBorder="1" applyAlignment="1">
      <alignment horizontal="center" vertical="center"/>
    </xf>
    <xf numFmtId="41" fontId="52" fillId="0" borderId="49" xfId="56" applyFont="1" applyBorder="1" applyAlignment="1">
      <alignment horizontal="center" vertical="center"/>
    </xf>
    <xf numFmtId="41" fontId="52" fillId="0" borderId="28" xfId="56" applyFont="1" applyBorder="1" applyAlignment="1">
      <alignment horizontal="center" vertical="center"/>
    </xf>
    <xf numFmtId="41" fontId="52" fillId="0" borderId="50" xfId="56" applyFont="1" applyBorder="1" applyAlignment="1">
      <alignment horizontal="center" vertical="center"/>
    </xf>
    <xf numFmtId="41" fontId="52" fillId="0" borderId="91" xfId="56" applyFont="1" applyBorder="1" applyAlignment="1">
      <alignment horizontal="center" vertical="center"/>
    </xf>
    <xf numFmtId="41" fontId="52" fillId="0" borderId="92" xfId="56" applyFont="1" applyBorder="1" applyAlignment="1">
      <alignment horizontal="center" vertical="center"/>
    </xf>
    <xf numFmtId="41" fontId="52" fillId="0" borderId="93" xfId="56" applyFont="1" applyBorder="1" applyAlignment="1">
      <alignment horizontal="center" vertical="center"/>
    </xf>
    <xf numFmtId="10" fontId="49" fillId="0" borderId="49" xfId="79" applyNumberFormat="1" applyFont="1" applyBorder="1" applyAlignment="1">
      <alignment horizontal="center" vertical="center"/>
    </xf>
    <xf numFmtId="10" fontId="49" fillId="0" borderId="28" xfId="79" applyNumberFormat="1" applyFont="1" applyBorder="1" applyAlignment="1">
      <alignment horizontal="center" vertical="center"/>
    </xf>
    <xf numFmtId="41" fontId="51" fillId="0" borderId="49" xfId="56" applyFont="1" applyBorder="1" applyAlignment="1">
      <alignment horizontal="center" vertical="center"/>
    </xf>
    <xf numFmtId="41" fontId="51" fillId="0" borderId="28" xfId="56" applyFont="1" applyBorder="1" applyAlignment="1">
      <alignment horizontal="center" vertical="center"/>
    </xf>
    <xf numFmtId="41" fontId="51" fillId="0" borderId="50" xfId="56" applyFont="1" applyBorder="1" applyAlignment="1">
      <alignment horizontal="center" vertical="center"/>
    </xf>
    <xf numFmtId="0" fontId="49" fillId="0" borderId="49" xfId="79" applyFont="1" applyBorder="1" applyAlignment="1">
      <alignment horizontal="center" vertical="center"/>
    </xf>
    <xf numFmtId="0" fontId="49" fillId="0" borderId="28" xfId="79" applyFont="1" applyBorder="1" applyAlignment="1">
      <alignment horizontal="center" vertical="center"/>
    </xf>
    <xf numFmtId="0" fontId="49" fillId="0" borderId="50" xfId="79" applyFont="1" applyBorder="1" applyAlignment="1">
      <alignment horizontal="center" vertical="center"/>
    </xf>
    <xf numFmtId="0" fontId="50" fillId="29" borderId="94" xfId="79" applyFont="1" applyFill="1" applyBorder="1" applyAlignment="1">
      <alignment horizontal="center" vertical="center"/>
    </xf>
    <xf numFmtId="0" fontId="50" fillId="29" borderId="30" xfId="79" applyFont="1" applyFill="1" applyBorder="1" applyAlignment="1">
      <alignment horizontal="center" vertical="center"/>
    </xf>
    <xf numFmtId="0" fontId="50" fillId="29" borderId="95" xfId="79" applyFont="1" applyFill="1" applyBorder="1" applyAlignment="1">
      <alignment horizontal="center" vertical="center"/>
    </xf>
    <xf numFmtId="0" fontId="50" fillId="0" borderId="26" xfId="79" applyFont="1" applyBorder="1" applyAlignment="1">
      <alignment horizontal="center" vertical="center"/>
    </xf>
    <xf numFmtId="0" fontId="50" fillId="0" borderId="28" xfId="79" applyFont="1" applyBorder="1" applyAlignment="1">
      <alignment horizontal="center" vertical="center"/>
    </xf>
    <xf numFmtId="0" fontId="50" fillId="0" borderId="65" xfId="79" applyFont="1" applyBorder="1" applyAlignment="1">
      <alignment horizontal="center" vertical="center"/>
    </xf>
    <xf numFmtId="0" fontId="57" fillId="30" borderId="21" xfId="79" applyFont="1" applyFill="1" applyBorder="1" applyAlignment="1">
      <alignment horizontal="center" vertical="center"/>
    </xf>
    <xf numFmtId="0" fontId="57" fillId="30" borderId="2" xfId="79" applyFont="1" applyFill="1" applyBorder="1" applyAlignment="1">
      <alignment horizontal="center" vertical="center"/>
    </xf>
    <xf numFmtId="10" fontId="49" fillId="0" borderId="50" xfId="79" applyNumberFormat="1" applyFont="1" applyBorder="1" applyAlignment="1">
      <alignment horizontal="center" vertical="center"/>
    </xf>
    <xf numFmtId="41" fontId="52" fillId="29" borderId="73" xfId="56" applyFont="1" applyFill="1" applyBorder="1" applyAlignment="1">
      <alignment horizontal="center" vertical="center"/>
    </xf>
    <xf numFmtId="41" fontId="52" fillId="29" borderId="30" xfId="56" applyFont="1" applyFill="1" applyBorder="1" applyAlignment="1">
      <alignment horizontal="center" vertical="center"/>
    </xf>
    <xf numFmtId="178" fontId="48" fillId="0" borderId="0" xfId="79" applyNumberFormat="1" applyFont="1" applyBorder="1" applyAlignment="1">
      <alignment horizontal="center" vertical="center"/>
    </xf>
    <xf numFmtId="178" fontId="49" fillId="25" borderId="96" xfId="79" applyNumberFormat="1" applyFont="1" applyFill="1" applyBorder="1" applyAlignment="1">
      <alignment horizontal="center" vertical="center" wrapText="1"/>
    </xf>
    <xf numFmtId="178" fontId="49" fillId="25" borderId="97" xfId="79" applyNumberFormat="1" applyFont="1" applyFill="1" applyBorder="1" applyAlignment="1">
      <alignment horizontal="center" vertical="center" wrapText="1"/>
    </xf>
    <xf numFmtId="178" fontId="49" fillId="25" borderId="98" xfId="79" applyNumberFormat="1" applyFont="1" applyFill="1" applyBorder="1" applyAlignment="1">
      <alignment horizontal="center" vertical="center" wrapText="1"/>
    </xf>
    <xf numFmtId="178" fontId="49" fillId="25" borderId="36" xfId="79" applyNumberFormat="1" applyFont="1" applyFill="1" applyBorder="1" applyAlignment="1">
      <alignment horizontal="center" vertical="center" wrapText="1"/>
    </xf>
    <xf numFmtId="178" fontId="49" fillId="25" borderId="91" xfId="79" applyNumberFormat="1" applyFont="1" applyFill="1" applyBorder="1" applyAlignment="1">
      <alignment horizontal="center" vertical="center" wrapText="1"/>
    </xf>
    <xf numFmtId="178" fontId="49" fillId="25" borderId="99" xfId="79" applyNumberFormat="1" applyFont="1" applyFill="1" applyBorder="1" applyAlignment="1">
      <alignment horizontal="center" vertical="center" wrapText="1"/>
    </xf>
    <xf numFmtId="178" fontId="49" fillId="25" borderId="24" xfId="79" applyNumberFormat="1" applyFont="1" applyFill="1" applyBorder="1" applyAlignment="1">
      <alignment horizontal="center" vertical="center" wrapText="1"/>
    </xf>
    <xf numFmtId="178" fontId="49" fillId="25" borderId="100" xfId="79" applyNumberFormat="1" applyFont="1" applyFill="1" applyBorder="1" applyAlignment="1">
      <alignment horizontal="center" vertical="center" wrapText="1"/>
    </xf>
    <xf numFmtId="178" fontId="49" fillId="25" borderId="101" xfId="79" applyNumberFormat="1" applyFont="1" applyFill="1" applyBorder="1" applyAlignment="1">
      <alignment horizontal="center" vertical="center"/>
    </xf>
    <xf numFmtId="178" fontId="49" fillId="25" borderId="102" xfId="79" applyNumberFormat="1" applyFont="1" applyFill="1" applyBorder="1" applyAlignment="1">
      <alignment horizontal="center" vertical="center"/>
    </xf>
    <xf numFmtId="41" fontId="50" fillId="25" borderId="103" xfId="79" applyNumberFormat="1" applyFont="1" applyFill="1" applyBorder="1" applyAlignment="1">
      <alignment horizontal="center" vertical="center"/>
    </xf>
    <xf numFmtId="41" fontId="50" fillId="25" borderId="104" xfId="79" applyNumberFormat="1" applyFont="1" applyFill="1" applyBorder="1" applyAlignment="1">
      <alignment horizontal="center" vertical="center"/>
    </xf>
    <xf numFmtId="178" fontId="49" fillId="25" borderId="105" xfId="79" applyNumberFormat="1" applyFont="1" applyFill="1" applyBorder="1" applyAlignment="1">
      <alignment horizontal="center" vertical="center"/>
    </xf>
    <xf numFmtId="178" fontId="49" fillId="25" borderId="98" xfId="79" applyNumberFormat="1" applyFont="1" applyFill="1" applyBorder="1" applyAlignment="1">
      <alignment horizontal="center" vertical="center"/>
    </xf>
    <xf numFmtId="178" fontId="49" fillId="25" borderId="91" xfId="79" applyNumberFormat="1" applyFont="1" applyFill="1" applyBorder="1" applyAlignment="1">
      <alignment horizontal="center" vertical="center"/>
    </xf>
    <xf numFmtId="178" fontId="54" fillId="0" borderId="0" xfId="79" applyNumberFormat="1" applyFont="1" applyBorder="1" applyAlignment="1">
      <alignment horizontal="center" vertical="center"/>
    </xf>
    <xf numFmtId="41" fontId="50" fillId="25" borderId="98" xfId="79" applyNumberFormat="1" applyFont="1" applyFill="1" applyBorder="1" applyAlignment="1">
      <alignment horizontal="center" vertical="center"/>
    </xf>
    <xf numFmtId="0" fontId="39" fillId="0" borderId="25" xfId="75" applyFont="1" applyBorder="1" applyAlignment="1">
      <alignment horizontal="left" vertical="center" wrapText="1"/>
    </xf>
    <xf numFmtId="41" fontId="41" fillId="31" borderId="106" xfId="58" applyNumberFormat="1" applyFont="1" applyFill="1" applyBorder="1" applyAlignment="1">
      <alignment horizontal="center" vertical="center"/>
    </xf>
    <xf numFmtId="41" fontId="41" fillId="31" borderId="107" xfId="58" applyNumberFormat="1" applyFont="1" applyFill="1" applyBorder="1" applyAlignment="1">
      <alignment horizontal="center" vertical="center"/>
    </xf>
    <xf numFmtId="0" fontId="41" fillId="0" borderId="108" xfId="75" applyFont="1" applyBorder="1" applyAlignment="1">
      <alignment horizontal="center" vertical="center"/>
    </xf>
    <xf numFmtId="0" fontId="39" fillId="0" borderId="35" xfId="75" applyFont="1" applyBorder="1" applyAlignment="1">
      <alignment vertical="center"/>
    </xf>
    <xf numFmtId="0" fontId="39" fillId="0" borderId="109" xfId="75" applyFont="1" applyBorder="1" applyAlignment="1">
      <alignment vertical="center"/>
    </xf>
    <xf numFmtId="0" fontId="39" fillId="0" borderId="73" xfId="0" applyFont="1" applyBorder="1" applyAlignment="1">
      <alignment horizontal="center" vertical="center" wrapText="1"/>
    </xf>
    <xf numFmtId="0" fontId="39" fillId="0" borderId="51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0" fontId="39" fillId="0" borderId="110" xfId="0" applyFont="1" applyBorder="1" applyAlignment="1">
      <alignment horizontal="center" vertical="center"/>
    </xf>
    <xf numFmtId="0" fontId="41" fillId="0" borderId="38" xfId="75" applyFont="1" applyBorder="1" applyAlignment="1">
      <alignment horizontal="center" vertical="center"/>
    </xf>
    <xf numFmtId="0" fontId="39" fillId="0" borderId="40" xfId="75" applyFont="1" applyBorder="1" applyAlignment="1">
      <alignment horizontal="center" vertical="center"/>
    </xf>
    <xf numFmtId="0" fontId="39" fillId="0" borderId="49" xfId="75" applyFont="1" applyBorder="1" applyAlignment="1">
      <alignment horizontal="center" vertical="center"/>
    </xf>
    <xf numFmtId="0" fontId="39" fillId="0" borderId="50" xfId="75" applyFont="1" applyBorder="1" applyAlignment="1">
      <alignment horizontal="center" vertical="center"/>
    </xf>
    <xf numFmtId="0" fontId="41" fillId="0" borderId="26" xfId="75" applyFont="1" applyBorder="1" applyAlignment="1">
      <alignment horizontal="center" vertical="center"/>
    </xf>
    <xf numFmtId="0" fontId="39" fillId="0" borderId="28" xfId="75" applyFont="1" applyBorder="1" applyAlignment="1">
      <alignment vertical="center"/>
    </xf>
    <xf numFmtId="0" fontId="39" fillId="0" borderId="65" xfId="75" applyFont="1" applyBorder="1" applyAlignment="1">
      <alignment vertical="center"/>
    </xf>
    <xf numFmtId="0" fontId="41" fillId="0" borderId="94" xfId="75" applyFont="1" applyBorder="1" applyAlignment="1">
      <alignment horizontal="center" vertical="center"/>
    </xf>
    <xf numFmtId="0" fontId="41" fillId="0" borderId="30" xfId="75" applyFont="1" applyBorder="1" applyAlignment="1">
      <alignment horizontal="center" vertical="center"/>
    </xf>
    <xf numFmtId="0" fontId="41" fillId="0" borderId="95" xfId="75" applyFont="1" applyBorder="1" applyAlignment="1">
      <alignment horizontal="center" vertical="center"/>
    </xf>
    <xf numFmtId="0" fontId="41" fillId="0" borderId="0" xfId="75" applyFont="1" applyBorder="1" applyAlignment="1">
      <alignment horizontal="center" vertical="center"/>
    </xf>
    <xf numFmtId="0" fontId="41" fillId="0" borderId="41" xfId="75" applyFont="1" applyBorder="1" applyAlignment="1">
      <alignment horizontal="center" vertical="center"/>
    </xf>
    <xf numFmtId="0" fontId="41" fillId="0" borderId="111" xfId="75" applyFont="1" applyBorder="1" applyAlignment="1">
      <alignment horizontal="center" vertical="center"/>
    </xf>
    <xf numFmtId="0" fontId="41" fillId="0" borderId="112" xfId="75" applyFont="1" applyBorder="1" applyAlignment="1">
      <alignment horizontal="center" vertical="center"/>
    </xf>
    <xf numFmtId="0" fontId="41" fillId="0" borderId="113" xfId="75" applyFont="1" applyBorder="1" applyAlignment="1">
      <alignment horizontal="center" vertical="center"/>
    </xf>
    <xf numFmtId="189" fontId="41" fillId="0" borderId="29" xfId="58" applyNumberFormat="1" applyFont="1" applyBorder="1" applyAlignment="1">
      <alignment horizontal="center" vertical="center"/>
    </xf>
    <xf numFmtId="189" fontId="41" fillId="0" borderId="32" xfId="58" applyNumberFormat="1" applyFont="1" applyBorder="1" applyAlignment="1">
      <alignment horizontal="center" vertical="center"/>
    </xf>
    <xf numFmtId="189" fontId="41" fillId="0" borderId="47" xfId="58" applyNumberFormat="1" applyFont="1" applyBorder="1" applyAlignment="1">
      <alignment horizontal="center" vertical="center"/>
    </xf>
    <xf numFmtId="41" fontId="41" fillId="0" borderId="29" xfId="58" applyNumberFormat="1" applyFont="1" applyBorder="1" applyAlignment="1">
      <alignment horizontal="center" vertical="center"/>
    </xf>
    <xf numFmtId="41" fontId="41" fillId="0" borderId="32" xfId="58" applyNumberFormat="1" applyFont="1" applyBorder="1" applyAlignment="1">
      <alignment horizontal="center" vertical="center"/>
    </xf>
    <xf numFmtId="41" fontId="41" fillId="0" borderId="47" xfId="58" applyNumberFormat="1" applyFont="1" applyBorder="1" applyAlignment="1">
      <alignment horizontal="center" vertical="center"/>
    </xf>
    <xf numFmtId="41" fontId="41" fillId="0" borderId="49" xfId="58" applyNumberFormat="1" applyFont="1" applyBorder="1" applyAlignment="1">
      <alignment horizontal="center" vertical="center"/>
    </xf>
    <xf numFmtId="41" fontId="41" fillId="0" borderId="50" xfId="58" applyNumberFormat="1" applyFont="1" applyBorder="1" applyAlignment="1">
      <alignment horizontal="center" vertical="center"/>
    </xf>
    <xf numFmtId="0" fontId="39" fillId="0" borderId="31" xfId="75" applyFont="1" applyBorder="1" applyAlignment="1">
      <alignment horizontal="center" vertical="center"/>
    </xf>
    <xf numFmtId="0" fontId="41" fillId="0" borderId="32" xfId="75" applyFont="1" applyBorder="1" applyAlignment="1">
      <alignment horizontal="center" vertical="center"/>
    </xf>
    <xf numFmtId="0" fontId="39" fillId="0" borderId="32" xfId="75" applyFont="1" applyBorder="1" applyAlignment="1">
      <alignment horizontal="center" vertical="center"/>
    </xf>
    <xf numFmtId="180" fontId="41" fillId="0" borderId="0" xfId="58" applyNumberFormat="1" applyFont="1" applyBorder="1" applyAlignment="1">
      <alignment horizontal="right" vertical="center"/>
    </xf>
    <xf numFmtId="0" fontId="39" fillId="0" borderId="0" xfId="75" applyFont="1" applyBorder="1" applyAlignment="1">
      <alignment horizontal="right" vertical="center"/>
    </xf>
    <xf numFmtId="41" fontId="41" fillId="0" borderId="0" xfId="58" applyNumberFormat="1" applyFont="1" applyFill="1" applyBorder="1" applyAlignment="1">
      <alignment horizontal="right" vertical="center"/>
    </xf>
    <xf numFmtId="0" fontId="39" fillId="0" borderId="0" xfId="75" applyFont="1" applyFill="1" applyBorder="1" applyAlignment="1">
      <alignment horizontal="right" vertical="center"/>
    </xf>
    <xf numFmtId="41" fontId="41" fillId="0" borderId="32" xfId="58" applyNumberFormat="1" applyFont="1" applyBorder="1" applyAlignment="1">
      <alignment vertical="center"/>
    </xf>
    <xf numFmtId="0" fontId="39" fillId="0" borderId="32" xfId="75" applyFont="1" applyBorder="1" applyAlignment="1">
      <alignment vertical="center"/>
    </xf>
    <xf numFmtId="41" fontId="41" fillId="0" borderId="29" xfId="58" applyNumberFormat="1" applyFont="1" applyBorder="1" applyAlignment="1">
      <alignment vertical="center"/>
    </xf>
    <xf numFmtId="0" fontId="39" fillId="0" borderId="47" xfId="75" applyFont="1" applyBorder="1" applyAlignment="1">
      <alignment vertical="center"/>
    </xf>
    <xf numFmtId="0" fontId="39" fillId="0" borderId="73" xfId="75" applyFont="1" applyBorder="1" applyAlignment="1">
      <alignment horizontal="center" vertical="center"/>
    </xf>
    <xf numFmtId="0" fontId="39" fillId="0" borderId="51" xfId="75" applyFont="1" applyBorder="1" applyAlignment="1">
      <alignment horizontal="center" vertical="center"/>
    </xf>
    <xf numFmtId="0" fontId="39" fillId="0" borderId="48" xfId="75" applyFont="1" applyBorder="1" applyAlignment="1">
      <alignment horizontal="center" vertical="center"/>
    </xf>
    <xf numFmtId="0" fontId="39" fillId="0" borderId="110" xfId="75" applyFont="1" applyBorder="1" applyAlignment="1">
      <alignment horizontal="center" vertical="center"/>
    </xf>
    <xf numFmtId="0" fontId="39" fillId="0" borderId="73" xfId="0" applyFont="1" applyBorder="1" applyAlignment="1">
      <alignment horizontal="center" vertical="center"/>
    </xf>
    <xf numFmtId="0" fontId="39" fillId="0" borderId="111" xfId="75" applyFont="1" applyBorder="1" applyAlignment="1">
      <alignment horizontal="center" vertical="center"/>
    </xf>
    <xf numFmtId="0" fontId="41" fillId="0" borderId="29" xfId="75" applyFont="1" applyBorder="1" applyAlignment="1">
      <alignment horizontal="center" vertical="center"/>
    </xf>
    <xf numFmtId="0" fontId="39" fillId="0" borderId="47" xfId="75" applyFont="1" applyBorder="1" applyAlignment="1">
      <alignment horizontal="center" vertical="center"/>
    </xf>
    <xf numFmtId="180" fontId="41" fillId="0" borderId="30" xfId="58" applyNumberFormat="1" applyFont="1" applyBorder="1" applyAlignment="1">
      <alignment horizontal="right" vertical="center"/>
    </xf>
    <xf numFmtId="0" fontId="39" fillId="0" borderId="112" xfId="75" applyFont="1" applyBorder="1" applyAlignment="1">
      <alignment horizontal="right" vertical="center"/>
    </xf>
    <xf numFmtId="41" fontId="41" fillId="0" borderId="30" xfId="58" applyNumberFormat="1" applyFont="1" applyFill="1" applyBorder="1" applyAlignment="1">
      <alignment horizontal="right" vertical="center"/>
    </xf>
    <xf numFmtId="0" fontId="39" fillId="0" borderId="112" xfId="75" applyFont="1" applyFill="1" applyBorder="1" applyAlignment="1">
      <alignment horizontal="right" vertical="center"/>
    </xf>
    <xf numFmtId="0" fontId="45" fillId="0" borderId="0" xfId="75" applyFont="1" applyAlignment="1">
      <alignment horizontal="center" vertical="center"/>
    </xf>
    <xf numFmtId="0" fontId="38" fillId="0" borderId="0" xfId="75" applyFont="1" applyAlignment="1"/>
    <xf numFmtId="0" fontId="40" fillId="0" borderId="46" xfId="75" applyFont="1" applyBorder="1" applyAlignment="1">
      <alignment horizontal="center" vertical="center"/>
    </xf>
    <xf numFmtId="0" fontId="40" fillId="0" borderId="52" xfId="75" applyFont="1" applyBorder="1" applyAlignment="1">
      <alignment horizontal="center" vertical="center"/>
    </xf>
    <xf numFmtId="0" fontId="77" fillId="0" borderId="91" xfId="75" applyFont="1" applyBorder="1" applyAlignment="1">
      <alignment horizontal="center" vertical="center"/>
    </xf>
    <xf numFmtId="0" fontId="77" fillId="0" borderId="93" xfId="75" applyFont="1" applyBorder="1" applyAlignment="1">
      <alignment horizontal="center" vertical="center"/>
    </xf>
    <xf numFmtId="0" fontId="77" fillId="0" borderId="49" xfId="75" applyFont="1" applyBorder="1" applyAlignment="1">
      <alignment horizontal="center" vertical="center"/>
    </xf>
    <xf numFmtId="0" fontId="77" fillId="0" borderId="50" xfId="75" applyFont="1" applyBorder="1" applyAlignment="1">
      <alignment horizontal="center" vertical="center"/>
    </xf>
    <xf numFmtId="0" fontId="39" fillId="0" borderId="91" xfId="75" applyFont="1" applyBorder="1" applyAlignment="1">
      <alignment horizontal="center" vertical="center"/>
    </xf>
    <xf numFmtId="0" fontId="39" fillId="0" borderId="93" xfId="75" applyFont="1" applyBorder="1" applyAlignment="1">
      <alignment horizontal="center" vertical="center"/>
    </xf>
    <xf numFmtId="0" fontId="70" fillId="0" borderId="21" xfId="0" applyFont="1" applyBorder="1" applyAlignment="1">
      <alignment horizontal="center" vertical="center" wrapText="1"/>
    </xf>
    <xf numFmtId="0" fontId="70" fillId="0" borderId="2" xfId="0" applyFont="1" applyBorder="1" applyAlignment="1">
      <alignment horizontal="center" vertical="center" wrapText="1"/>
    </xf>
    <xf numFmtId="0" fontId="70" fillId="0" borderId="52" xfId="0" applyFont="1" applyBorder="1" applyAlignment="1">
      <alignment horizontal="center" vertical="center" wrapText="1"/>
    </xf>
    <xf numFmtId="0" fontId="70" fillId="30" borderId="119" xfId="0" applyFont="1" applyFill="1" applyBorder="1" applyAlignment="1">
      <alignment horizontal="center" vertical="center" wrapText="1"/>
    </xf>
    <xf numFmtId="0" fontId="70" fillId="30" borderId="120" xfId="0" applyFont="1" applyFill="1" applyBorder="1" applyAlignment="1">
      <alignment horizontal="center" vertical="center" wrapText="1"/>
    </xf>
    <xf numFmtId="0" fontId="78" fillId="0" borderId="124" xfId="0" applyFont="1" applyBorder="1" applyAlignment="1">
      <alignment horizontal="center" vertical="center"/>
    </xf>
    <xf numFmtId="0" fontId="70" fillId="30" borderId="121" xfId="0" applyFont="1" applyFill="1" applyBorder="1" applyAlignment="1">
      <alignment horizontal="center" vertical="center" wrapText="1"/>
    </xf>
    <xf numFmtId="0" fontId="70" fillId="30" borderId="122" xfId="0" applyFont="1" applyFill="1" applyBorder="1" applyAlignment="1">
      <alignment horizontal="center" vertical="center" wrapText="1"/>
    </xf>
    <xf numFmtId="0" fontId="70" fillId="30" borderId="123" xfId="0" applyFont="1" applyFill="1" applyBorder="1" applyAlignment="1">
      <alignment horizontal="center" vertical="center" wrapText="1"/>
    </xf>
    <xf numFmtId="0" fontId="38" fillId="0" borderId="124" xfId="0" applyFont="1" applyBorder="1" applyAlignment="1">
      <alignment horizontal="center" vertical="center"/>
    </xf>
    <xf numFmtId="41" fontId="70" fillId="30" borderId="119" xfId="56" applyFont="1" applyFill="1" applyBorder="1" applyAlignment="1">
      <alignment horizontal="center" vertical="center" wrapText="1"/>
    </xf>
    <xf numFmtId="41" fontId="70" fillId="30" borderId="120" xfId="56" applyFont="1" applyFill="1" applyBorder="1" applyAlignment="1">
      <alignment horizontal="center" vertical="center" wrapText="1"/>
    </xf>
    <xf numFmtId="0" fontId="69" fillId="0" borderId="14" xfId="0" applyFont="1" applyBorder="1" applyAlignment="1">
      <alignment horizontal="center" vertical="center"/>
    </xf>
    <xf numFmtId="0" fontId="69" fillId="0" borderId="15" xfId="0" applyFont="1" applyBorder="1" applyAlignment="1">
      <alignment horizontal="center" vertical="center"/>
    </xf>
    <xf numFmtId="0" fontId="69" fillId="0" borderId="16" xfId="0" applyFont="1" applyBorder="1" applyAlignment="1">
      <alignment horizontal="center" vertical="center"/>
    </xf>
    <xf numFmtId="0" fontId="69" fillId="0" borderId="17" xfId="0" applyFont="1" applyBorder="1" applyAlignment="1">
      <alignment horizontal="center" vertical="center"/>
    </xf>
    <xf numFmtId="0" fontId="69" fillId="0" borderId="0" xfId="0" applyFont="1" applyBorder="1" applyAlignment="1">
      <alignment horizontal="center" vertical="center"/>
    </xf>
    <xf numFmtId="0" fontId="69" fillId="0" borderId="18" xfId="0" applyFont="1" applyBorder="1" applyAlignment="1">
      <alignment horizontal="center" vertical="center"/>
    </xf>
    <xf numFmtId="0" fontId="69" fillId="0" borderId="114" xfId="0" applyFont="1" applyBorder="1" applyAlignment="1">
      <alignment horizontal="center" vertical="center"/>
    </xf>
    <xf numFmtId="0" fontId="69" fillId="0" borderId="61" xfId="0" applyFont="1" applyBorder="1" applyAlignment="1">
      <alignment horizontal="center" vertical="center"/>
    </xf>
    <xf numFmtId="0" fontId="69" fillId="0" borderId="115" xfId="0" applyFont="1" applyBorder="1" applyAlignment="1">
      <alignment horizontal="center" vertical="center"/>
    </xf>
  </cellXfs>
  <cellStyles count="80">
    <cellStyle name="??&amp;O?&amp;H?_x0008__x000f__x0007_?_x0007__x0001__x0001_" xfId="1" xr:uid="{00000000-0005-0000-0000-000000000000}"/>
    <cellStyle name="?W?_laroux" xfId="2" xr:uid="{00000000-0005-0000-0000-000001000000}"/>
    <cellStyle name="’E‰Y [0.00]_laroux" xfId="3" xr:uid="{00000000-0005-0000-0000-000002000000}"/>
    <cellStyle name="’E‰Y_laroux" xfId="4" xr:uid="{00000000-0005-0000-0000-000003000000}"/>
    <cellStyle name="20% - 강조색1" xfId="5" builtinId="30" customBuiltin="1"/>
    <cellStyle name="20% - 강조색2" xfId="6" builtinId="34" customBuiltin="1"/>
    <cellStyle name="20% - 강조색3" xfId="7" builtinId="38" customBuiltin="1"/>
    <cellStyle name="20% - 강조색4" xfId="8" builtinId="42" customBuiltin="1"/>
    <cellStyle name="20% - 강조색5" xfId="9" builtinId="46" customBuiltin="1"/>
    <cellStyle name="20% - 강조색6" xfId="10" builtinId="50" customBuiltin="1"/>
    <cellStyle name="40% - 강조색1" xfId="11" builtinId="31" customBuiltin="1"/>
    <cellStyle name="40% - 강조색2" xfId="12" builtinId="35" customBuiltin="1"/>
    <cellStyle name="40% - 강조색3" xfId="13" builtinId="39" customBuiltin="1"/>
    <cellStyle name="40% - 강조색4" xfId="14" builtinId="43" customBuiltin="1"/>
    <cellStyle name="40% - 강조색5" xfId="15" builtinId="47" customBuiltin="1"/>
    <cellStyle name="40% - 강조색6" xfId="16" builtinId="51" customBuiltin="1"/>
    <cellStyle name="60% - 강조색1" xfId="17" builtinId="32" customBuiltin="1"/>
    <cellStyle name="60% - 강조색2" xfId="18" builtinId="36" customBuiltin="1"/>
    <cellStyle name="60% - 강조색3" xfId="19" builtinId="40" customBuiltin="1"/>
    <cellStyle name="60% - 강조색4" xfId="20" builtinId="44" customBuiltin="1"/>
    <cellStyle name="60% - 강조색5" xfId="21" builtinId="48" customBuiltin="1"/>
    <cellStyle name="60% - 강조색6" xfId="22" builtinId="52" customBuiltin="1"/>
    <cellStyle name="AeE­ [0]_PERSONAL" xfId="23" xr:uid="{00000000-0005-0000-0000-000016000000}"/>
    <cellStyle name="AeE­_PERSONAL" xfId="24" xr:uid="{00000000-0005-0000-0000-000017000000}"/>
    <cellStyle name="ALIGNMENT" xfId="25" xr:uid="{00000000-0005-0000-0000-000018000000}"/>
    <cellStyle name="C￥AØ_PERSONAL" xfId="26" xr:uid="{00000000-0005-0000-0000-000019000000}"/>
    <cellStyle name="category" xfId="27" xr:uid="{00000000-0005-0000-0000-00001A000000}"/>
    <cellStyle name="Comma [0]_0818" xfId="28" xr:uid="{00000000-0005-0000-0000-00001B000000}"/>
    <cellStyle name="Comma_0818" xfId="29" xr:uid="{00000000-0005-0000-0000-00001C000000}"/>
    <cellStyle name="Currency [0]_0603P" xfId="30" xr:uid="{00000000-0005-0000-0000-00001D000000}"/>
    <cellStyle name="Currency_ARN (2)" xfId="31" xr:uid="{00000000-0005-0000-0000-00001E000000}"/>
    <cellStyle name="Grey" xfId="32" xr:uid="{00000000-0005-0000-0000-00001F000000}"/>
    <cellStyle name="HEADER" xfId="33" xr:uid="{00000000-0005-0000-0000-000020000000}"/>
    <cellStyle name="Header1" xfId="34" xr:uid="{00000000-0005-0000-0000-000021000000}"/>
    <cellStyle name="Header2" xfId="35" xr:uid="{00000000-0005-0000-0000-000022000000}"/>
    <cellStyle name="Input [yellow]" xfId="36" xr:uid="{00000000-0005-0000-0000-000023000000}"/>
    <cellStyle name="Model" xfId="37" xr:uid="{00000000-0005-0000-0000-000024000000}"/>
    <cellStyle name="Normal - Style1" xfId="38" xr:uid="{00000000-0005-0000-0000-000025000000}"/>
    <cellStyle name="Normal_5 Series SW" xfId="39" xr:uid="{00000000-0005-0000-0000-000026000000}"/>
    <cellStyle name="Percent [2]" xfId="40" xr:uid="{00000000-0005-0000-0000-000027000000}"/>
    <cellStyle name="subhead" xfId="41" xr:uid="{00000000-0005-0000-0000-000028000000}"/>
    <cellStyle name="강조색1" xfId="42" builtinId="29" customBuiltin="1"/>
    <cellStyle name="강조색2" xfId="43" builtinId="33" customBuiltin="1"/>
    <cellStyle name="강조색3" xfId="44" builtinId="37" customBuiltin="1"/>
    <cellStyle name="강조색4" xfId="45" builtinId="41" customBuiltin="1"/>
    <cellStyle name="강조색5" xfId="46" builtinId="45" customBuiltin="1"/>
    <cellStyle name="강조색6" xfId="47" builtinId="49" customBuiltin="1"/>
    <cellStyle name="경고문" xfId="48" builtinId="11" customBuiltin="1"/>
    <cellStyle name="계산" xfId="49" builtinId="22" customBuiltin="1"/>
    <cellStyle name="나쁨" xfId="50" builtinId="27" customBuiltin="1"/>
    <cellStyle name="뒤에 오는 하이퍼링크_BOOK1" xfId="51" xr:uid="{00000000-0005-0000-0000-000032000000}"/>
    <cellStyle name="메모" xfId="52" builtinId="10" customBuiltin="1"/>
    <cellStyle name="보통" xfId="53" builtinId="28" customBuiltin="1"/>
    <cellStyle name="설명 텍스트" xfId="54" builtinId="53" customBuiltin="1"/>
    <cellStyle name="셀 확인" xfId="55" builtinId="23" customBuiltin="1"/>
    <cellStyle name="쉼표 [0]" xfId="56" builtinId="6"/>
    <cellStyle name="쉼표 [0] 2" xfId="57" xr:uid="{00000000-0005-0000-0000-000038000000}"/>
    <cellStyle name="쉼표 [0] 2 3" xfId="58" xr:uid="{00000000-0005-0000-0000-000039000000}"/>
    <cellStyle name="스타일 1" xfId="59" xr:uid="{00000000-0005-0000-0000-00003A000000}"/>
    <cellStyle name="연결된 셀" xfId="60" builtinId="24" customBuiltin="1"/>
    <cellStyle name="요약" xfId="61" builtinId="25" customBuiltin="1"/>
    <cellStyle name="입력" xfId="62" builtinId="20" customBuiltin="1"/>
    <cellStyle name="제목" xfId="63" builtinId="15" customBuiltin="1"/>
    <cellStyle name="제목 1" xfId="64" builtinId="16" customBuiltin="1"/>
    <cellStyle name="제목 2" xfId="65" builtinId="17" customBuiltin="1"/>
    <cellStyle name="제목 3" xfId="66" builtinId="18" customBuiltin="1"/>
    <cellStyle name="제목 4" xfId="67" builtinId="19" customBuiltin="1"/>
    <cellStyle name="좋음" xfId="68" builtinId="26" customBuiltin="1"/>
    <cellStyle name="출력" xfId="69" builtinId="21" customBuiltin="1"/>
    <cellStyle name="콤마 [0]_95" xfId="70" xr:uid="{00000000-0005-0000-0000-000045000000}"/>
    <cellStyle name="콤마_95" xfId="71" xr:uid="{00000000-0005-0000-0000-000046000000}"/>
    <cellStyle name="표준" xfId="0" builtinId="0"/>
    <cellStyle name="표준 2" xfId="72" xr:uid="{00000000-0005-0000-0000-000048000000}"/>
    <cellStyle name="표준 2 2 3" xfId="73" xr:uid="{00000000-0005-0000-0000-000049000000}"/>
    <cellStyle name="표준 2 3" xfId="74" xr:uid="{00000000-0005-0000-0000-00004A000000}"/>
    <cellStyle name="표준 3" xfId="75" xr:uid="{00000000-0005-0000-0000-00004B000000}"/>
    <cellStyle name="표준 4" xfId="76" xr:uid="{00000000-0005-0000-0000-00004C000000}"/>
    <cellStyle name="표준 5" xfId="77" xr:uid="{00000000-0005-0000-0000-00004D000000}"/>
    <cellStyle name="표준 6" xfId="78" xr:uid="{00000000-0005-0000-0000-00004E000000}"/>
    <cellStyle name="표준_사방댐" xfId="79" xr:uid="{00000000-0005-0000-0000-00004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19050</xdr:colOff>
      <xdr:row>74</xdr:row>
      <xdr:rowOff>9525</xdr:rowOff>
    </xdr:to>
    <xdr:pic>
      <xdr:nvPicPr>
        <xdr:cNvPr id="10290" name="그림 2">
          <a:extLst>
            <a:ext uri="{FF2B5EF4-FFF2-40B4-BE49-F238E27FC236}">
              <a16:creationId xmlns:a16="http://schemas.microsoft.com/office/drawing/2014/main" id="{13B0B333-59DB-44D4-A40E-060C79A1F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401550" cy="834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er\My%20Documents\&#44608;&#48337;&#47924;\2008&#45380;\&#49444;&#44228;\&#44552;&#49328;%20&#49714;&#44032;&#44984;&#44592;\&#44608;&#54788;&#54840;\&#49444;&#44228;\&#49324;&#48169;&#45840;(2002%20&#48512;&#5066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2488;&#51648;&#51068;&#44288;/My%20Documents/2010&#45380;%20&#51204;&#52404;%20&#50629;&#47924;&#51088;&#47308;/&#51312;&#47548;&#49324;&#50629;/&#49892;&#49884;&#49444;&#44228;/&#44032;&#54217;/2010&#45380;%20&#51312;&#47548;&#49324;&#50629;%20&#49444;&#44228;&#49436;(&#44032;&#5421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
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위치간지"/>
      <sheetName val="현장사진간지"/>
      <sheetName val="위치도(작업지시도)"/>
      <sheetName val="설계설명서"/>
      <sheetName val="설계설명서간지"/>
      <sheetName val="예정공정표간지"/>
      <sheetName val="예정공정표"/>
      <sheetName val="일반시방서간지"/>
      <sheetName val="특별시방서간지"/>
      <sheetName val="소반시방간지"/>
      <sheetName val="공사원가계산서간지"/>
      <sheetName val="설계내역서간지"/>
      <sheetName val="ha당 단가산출서간지"/>
      <sheetName val="소반별시방서"/>
      <sheetName val="원가계산서"/>
      <sheetName val="설계내역총괄표"/>
      <sheetName val="단가산출서"/>
      <sheetName val="묘목소요내역"/>
      <sheetName val="필지별간지"/>
      <sheetName val="필지별묘목간지"/>
      <sheetName val="단가대비표"/>
      <sheetName val="단가대비표 (2)"/>
      <sheetName val="단가참고자료(간지)"/>
      <sheetName val="사무소간지"/>
      <sheetName val="표준지GPS간지"/>
      <sheetName val="벌근직경 간지"/>
      <sheetName val="수고조사야장"/>
      <sheetName val="최종맞춤"/>
      <sheetName val="설계요소"/>
      <sheetName val="실행계획(수식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197">
          <cell r="D197" t="str">
            <v>경기도산림환경연구소</v>
          </cell>
        </row>
      </sheetData>
      <sheetData sheetId="3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48"/>
  <sheetViews>
    <sheetView topLeftCell="A22" workbookViewId="0">
      <selection activeCell="H42" sqref="H42"/>
    </sheetView>
  </sheetViews>
  <sheetFormatPr defaultRowHeight="13.5"/>
  <cols>
    <col min="1" max="1" width="5.88671875" customWidth="1"/>
    <col min="2" max="2" width="12" customWidth="1"/>
    <col min="3" max="4" width="5.88671875" customWidth="1"/>
    <col min="5" max="5" width="7.33203125" customWidth="1"/>
    <col min="6" max="8" width="5.88671875" customWidth="1"/>
    <col min="9" max="10" width="4.5546875" customWidth="1"/>
    <col min="11" max="12" width="5.88671875" customWidth="1"/>
    <col min="13" max="14" width="3.77734375" customWidth="1"/>
    <col min="15" max="18" width="5.88671875" customWidth="1"/>
    <col min="21" max="21" width="10.21875" bestFit="1" customWidth="1"/>
  </cols>
  <sheetData>
    <row r="2" spans="1:18" s="14" customFormat="1" ht="14.25" thickBot="1"/>
    <row r="3" spans="1:18" s="14" customForma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7"/>
    </row>
    <row r="4" spans="1:18" s="14" customFormat="1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</row>
    <row r="5" spans="1:18" s="14" customFormat="1">
      <c r="A5" s="18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</row>
    <row r="6" spans="1:18" s="14" customFormat="1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20"/>
    </row>
    <row r="7" spans="1:18" s="14" customFormat="1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20"/>
    </row>
    <row r="8" spans="1:18" s="174" customFormat="1" ht="58.5" customHeight="1">
      <c r="A8" s="271" t="s">
        <v>223</v>
      </c>
      <c r="B8" s="272"/>
      <c r="C8" s="272"/>
      <c r="D8" s="272"/>
      <c r="E8" s="272"/>
      <c r="F8" s="272"/>
      <c r="G8" s="272"/>
      <c r="H8" s="272"/>
      <c r="I8" s="272"/>
      <c r="J8" s="272"/>
      <c r="K8" s="272"/>
      <c r="L8" s="272"/>
      <c r="M8" s="272"/>
      <c r="N8" s="272"/>
      <c r="O8" s="272"/>
      <c r="P8" s="272"/>
      <c r="Q8" s="272"/>
      <c r="R8" s="273"/>
    </row>
    <row r="9" spans="1:18" s="174" customFormat="1" ht="13.5" customHeight="1">
      <c r="A9" s="175"/>
      <c r="B9" s="176"/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7"/>
    </row>
    <row r="10" spans="1:18" s="174" customFormat="1" ht="30" customHeight="1">
      <c r="A10" s="274" t="s">
        <v>122</v>
      </c>
      <c r="B10" s="275"/>
      <c r="C10" s="275"/>
      <c r="D10" s="275"/>
      <c r="E10" s="275"/>
      <c r="F10" s="275"/>
      <c r="G10" s="275"/>
      <c r="H10" s="275"/>
      <c r="I10" s="275"/>
      <c r="J10" s="275"/>
      <c r="K10" s="275"/>
      <c r="L10" s="275"/>
      <c r="M10" s="275"/>
      <c r="N10" s="275"/>
      <c r="O10" s="275"/>
      <c r="P10" s="275"/>
      <c r="Q10" s="275"/>
      <c r="R10" s="276"/>
    </row>
    <row r="11" spans="1:18" s="174" customFormat="1" ht="30" customHeight="1">
      <c r="A11" s="277"/>
      <c r="B11" s="278"/>
      <c r="C11" s="278"/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8"/>
      <c r="P11" s="278"/>
      <c r="Q11" s="278"/>
      <c r="R11" s="279"/>
    </row>
    <row r="12" spans="1:18" s="174" customFormat="1" ht="30" customHeight="1">
      <c r="A12" s="277"/>
      <c r="B12" s="278"/>
      <c r="C12" s="278"/>
      <c r="D12" s="278"/>
      <c r="E12" s="278"/>
      <c r="F12" s="278"/>
      <c r="G12" s="278"/>
      <c r="H12" s="278"/>
      <c r="I12" s="278"/>
      <c r="J12" s="278"/>
      <c r="K12" s="278"/>
      <c r="L12" s="278"/>
      <c r="M12" s="278"/>
      <c r="N12" s="278"/>
      <c r="O12" s="278"/>
      <c r="P12" s="278"/>
      <c r="Q12" s="278"/>
      <c r="R12" s="279"/>
    </row>
    <row r="13" spans="1:18" s="174" customFormat="1" ht="30" customHeight="1">
      <c r="A13" s="178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80"/>
    </row>
    <row r="14" spans="1:18" s="174" customFormat="1" ht="30" customHeight="1">
      <c r="A14" s="178"/>
      <c r="B14" s="179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80"/>
    </row>
    <row r="15" spans="1:18" s="174" customFormat="1" ht="14.25">
      <c r="A15" s="181"/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3"/>
    </row>
    <row r="16" spans="1:18" s="174" customFormat="1" ht="14.25">
      <c r="A16" s="181"/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3"/>
    </row>
    <row r="17" spans="1:18" s="174" customFormat="1" ht="14.25">
      <c r="A17" s="181"/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3"/>
    </row>
    <row r="18" spans="1:18" s="174" customFormat="1" ht="29.25">
      <c r="A18" s="280" t="str">
        <f>[2]설계요소!D197</f>
        <v>경기도산림환경연구소</v>
      </c>
      <c r="B18" s="281"/>
      <c r="C18" s="281"/>
      <c r="D18" s="281"/>
      <c r="E18" s="281"/>
      <c r="F18" s="281"/>
      <c r="G18" s="281"/>
      <c r="H18" s="281"/>
      <c r="I18" s="281"/>
      <c r="J18" s="281"/>
      <c r="K18" s="281"/>
      <c r="L18" s="281"/>
      <c r="M18" s="281"/>
      <c r="N18" s="281"/>
      <c r="O18" s="281"/>
      <c r="P18" s="281"/>
      <c r="Q18" s="281"/>
      <c r="R18" s="282"/>
    </row>
    <row r="19" spans="1:18" s="14" customFormat="1">
      <c r="A19" s="18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20"/>
    </row>
    <row r="20" spans="1:18" s="14" customFormat="1">
      <c r="A20" s="1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20"/>
    </row>
    <row r="21" spans="1:18" s="14" customFormat="1">
      <c r="A21" s="18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20"/>
    </row>
    <row r="22" spans="1:18" s="14" customFormat="1">
      <c r="A22" s="18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20"/>
    </row>
    <row r="23" spans="1:18" s="14" customFormat="1" ht="14.25" thickBot="1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3"/>
    </row>
    <row r="24" spans="1:18" s="14" customFormat="1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</row>
    <row r="25" spans="1:18" s="14" customFormat="1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s="14" customFormat="1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</row>
    <row r="27" spans="1:18" s="14" customFormat="1" ht="14.25" thickBot="1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</row>
    <row r="28" spans="1:18" s="170" customFormat="1" ht="14.25" customHeight="1">
      <c r="A28" s="302" t="s">
        <v>115</v>
      </c>
      <c r="B28" s="292"/>
      <c r="C28" s="304" t="s">
        <v>116</v>
      </c>
      <c r="D28" s="292" t="s">
        <v>117</v>
      </c>
      <c r="E28" s="292"/>
      <c r="F28" s="292" t="s">
        <v>118</v>
      </c>
      <c r="G28" s="292"/>
      <c r="H28" s="292"/>
      <c r="I28" s="292" t="s">
        <v>119</v>
      </c>
      <c r="J28" s="292"/>
      <c r="K28" s="294"/>
      <c r="L28" s="295"/>
      <c r="M28" s="292" t="s">
        <v>120</v>
      </c>
      <c r="N28" s="292"/>
      <c r="O28" s="292" t="s">
        <v>224</v>
      </c>
      <c r="P28" s="292"/>
      <c r="Q28" s="292"/>
      <c r="R28" s="300"/>
    </row>
    <row r="29" spans="1:18" s="170" customFormat="1" ht="14.25" customHeight="1">
      <c r="A29" s="303"/>
      <c r="B29" s="293"/>
      <c r="C29" s="305"/>
      <c r="D29" s="293"/>
      <c r="E29" s="293"/>
      <c r="F29" s="293"/>
      <c r="G29" s="293"/>
      <c r="H29" s="293"/>
      <c r="I29" s="293"/>
      <c r="J29" s="293"/>
      <c r="K29" s="296"/>
      <c r="L29" s="297"/>
      <c r="M29" s="293"/>
      <c r="N29" s="293"/>
      <c r="O29" s="293"/>
      <c r="P29" s="293"/>
      <c r="Q29" s="293"/>
      <c r="R29" s="301"/>
    </row>
    <row r="30" spans="1:18" s="170" customFormat="1" ht="14.25" customHeight="1">
      <c r="A30" s="303"/>
      <c r="B30" s="293"/>
      <c r="C30" s="305"/>
      <c r="D30" s="293"/>
      <c r="E30" s="293"/>
      <c r="F30" s="293"/>
      <c r="G30" s="293"/>
      <c r="H30" s="293"/>
      <c r="I30" s="293"/>
      <c r="J30" s="293"/>
      <c r="K30" s="296"/>
      <c r="L30" s="297"/>
      <c r="M30" s="293" t="s">
        <v>121</v>
      </c>
      <c r="N30" s="293"/>
      <c r="O30" s="293" t="str">
        <f>O28</f>
        <v>2026년  09 월    일</v>
      </c>
      <c r="P30" s="293"/>
      <c r="Q30" s="293"/>
      <c r="R30" s="301"/>
    </row>
    <row r="31" spans="1:18" s="170" customFormat="1" ht="14.25" customHeight="1">
      <c r="A31" s="303"/>
      <c r="B31" s="293"/>
      <c r="C31" s="306"/>
      <c r="D31" s="293"/>
      <c r="E31" s="293"/>
      <c r="F31" s="293"/>
      <c r="G31" s="293"/>
      <c r="H31" s="293"/>
      <c r="I31" s="293"/>
      <c r="J31" s="293"/>
      <c r="K31" s="298"/>
      <c r="L31" s="299"/>
      <c r="M31" s="293"/>
      <c r="N31" s="293"/>
      <c r="O31" s="293"/>
      <c r="P31" s="293"/>
      <c r="Q31" s="293"/>
      <c r="R31" s="301"/>
    </row>
    <row r="32" spans="1:18" s="170" customFormat="1" ht="15">
      <c r="A32" s="184"/>
      <c r="B32" s="61"/>
      <c r="C32" s="61"/>
      <c r="D32" s="61"/>
      <c r="E32" s="61"/>
      <c r="F32" s="61"/>
      <c r="G32" s="61"/>
      <c r="H32" s="61"/>
      <c r="I32" s="61"/>
      <c r="J32" s="61"/>
      <c r="K32" s="185"/>
      <c r="L32" s="185"/>
      <c r="M32" s="61"/>
      <c r="N32" s="61"/>
      <c r="O32" s="61"/>
      <c r="P32" s="61"/>
      <c r="Q32" s="61"/>
      <c r="R32" s="186"/>
    </row>
    <row r="33" spans="1:21" s="170" customFormat="1" ht="15">
      <c r="A33" s="184"/>
      <c r="B33" s="61"/>
      <c r="C33" s="61"/>
      <c r="D33" s="61"/>
      <c r="E33" s="61"/>
      <c r="F33" s="61"/>
      <c r="G33" s="61"/>
      <c r="H33" s="61"/>
      <c r="I33" s="61"/>
      <c r="J33" s="61"/>
      <c r="K33" s="185"/>
      <c r="L33" s="185"/>
      <c r="M33" s="61"/>
      <c r="N33" s="61"/>
      <c r="O33" s="61"/>
      <c r="P33" s="61"/>
      <c r="Q33" s="61"/>
      <c r="R33" s="186"/>
    </row>
    <row r="34" spans="1:21" s="170" customFormat="1" ht="29.25">
      <c r="A34" s="283" t="str">
        <f>A8</f>
        <v>2026년 산림용 종자 채취사업 설계서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5"/>
    </row>
    <row r="35" spans="1:21" s="170" customFormat="1" ht="13.5" customHeight="1">
      <c r="A35" s="286"/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8"/>
    </row>
    <row r="36" spans="1:21" s="170" customFormat="1" ht="14.25">
      <c r="A36" s="171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3"/>
    </row>
    <row r="37" spans="1:21" s="170" customFormat="1" ht="19.5">
      <c r="A37" s="171"/>
      <c r="C37" s="187" t="s">
        <v>123</v>
      </c>
      <c r="E37" s="187" t="str">
        <f>A10</f>
        <v>경기도 군포시 속달동 산1-1 등</v>
      </c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3"/>
    </row>
    <row r="38" spans="1:21" s="170" customFormat="1" ht="21.75" customHeight="1">
      <c r="A38" s="171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3"/>
    </row>
    <row r="39" spans="1:21" s="170" customFormat="1" ht="19.5">
      <c r="A39" s="188"/>
      <c r="C39" s="187" t="s">
        <v>166</v>
      </c>
      <c r="E39" s="234">
        <f>설계내역서!D11</f>
        <v>692</v>
      </c>
      <c r="F39" s="189" t="s">
        <v>74</v>
      </c>
      <c r="G39" s="187"/>
      <c r="H39" s="172"/>
      <c r="I39" s="190"/>
      <c r="J39" s="191"/>
      <c r="K39" s="187"/>
      <c r="L39" s="187"/>
      <c r="M39" s="187"/>
      <c r="N39" s="187"/>
      <c r="O39" s="187"/>
      <c r="P39" s="172"/>
      <c r="Q39" s="172"/>
      <c r="R39" s="173"/>
    </row>
    <row r="40" spans="1:21" s="170" customFormat="1" ht="19.5">
      <c r="A40" s="188"/>
      <c r="C40" s="187"/>
      <c r="D40" s="192"/>
      <c r="E40" s="189"/>
      <c r="F40" s="172"/>
      <c r="G40" s="187"/>
      <c r="H40" s="172"/>
      <c r="I40" s="190"/>
      <c r="J40" s="191"/>
      <c r="K40" s="187"/>
      <c r="L40" s="187"/>
      <c r="M40" s="187"/>
      <c r="N40" s="187"/>
      <c r="O40" s="187"/>
      <c r="P40" s="172"/>
      <c r="Q40" s="172"/>
      <c r="R40" s="173"/>
    </row>
    <row r="41" spans="1:21" s="170" customFormat="1" ht="20.25" customHeight="1">
      <c r="A41" s="188"/>
      <c r="C41" s="187" t="s">
        <v>124</v>
      </c>
      <c r="E41" s="235" t="s">
        <v>269</v>
      </c>
      <c r="F41" s="192"/>
      <c r="G41" s="192"/>
      <c r="H41" s="193"/>
      <c r="I41" s="192"/>
      <c r="J41" s="192"/>
      <c r="K41" s="192"/>
      <c r="L41" s="192"/>
      <c r="M41" s="192"/>
      <c r="N41" s="192"/>
      <c r="O41" s="192"/>
      <c r="P41" s="192"/>
      <c r="Q41" s="192"/>
      <c r="R41" s="173"/>
      <c r="U41" s="232"/>
    </row>
    <row r="42" spans="1:21" s="170" customFormat="1" ht="19.5">
      <c r="A42" s="188"/>
      <c r="B42" s="187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73"/>
    </row>
    <row r="43" spans="1:21" s="170" customFormat="1" ht="19.5">
      <c r="A43" s="188"/>
      <c r="B43" s="187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73"/>
    </row>
    <row r="44" spans="1:21" s="170" customFormat="1" ht="19.5">
      <c r="A44" s="188"/>
      <c r="B44" s="187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73"/>
    </row>
    <row r="45" spans="1:21" s="170" customFormat="1" ht="19.5">
      <c r="A45" s="188"/>
      <c r="B45" s="187"/>
      <c r="C45" s="192"/>
      <c r="D45" s="189"/>
      <c r="E45" s="189"/>
      <c r="F45" s="194"/>
      <c r="G45" s="195"/>
      <c r="H45" s="196"/>
      <c r="I45" s="189"/>
      <c r="J45" s="187"/>
      <c r="K45" s="187"/>
      <c r="L45" s="187"/>
      <c r="M45" s="187"/>
      <c r="N45" s="172"/>
      <c r="O45" s="172"/>
      <c r="P45" s="172"/>
      <c r="Q45" s="172"/>
      <c r="R45" s="173"/>
    </row>
    <row r="46" spans="1:21" s="170" customFormat="1" ht="27" customHeight="1">
      <c r="A46" s="171"/>
      <c r="B46" s="187"/>
      <c r="C46" s="187"/>
      <c r="D46" s="172"/>
      <c r="E46" s="172"/>
      <c r="F46" s="172"/>
      <c r="G46" s="172"/>
      <c r="H46" s="172"/>
      <c r="I46" s="197"/>
      <c r="J46" s="198"/>
      <c r="K46" s="198"/>
      <c r="L46" s="198"/>
      <c r="M46" s="198"/>
      <c r="N46" s="187"/>
      <c r="O46" s="172"/>
      <c r="P46" s="187"/>
      <c r="Q46" s="187"/>
      <c r="R46" s="173"/>
    </row>
    <row r="47" spans="1:21" s="170" customFormat="1" ht="33.75" customHeight="1">
      <c r="A47" s="171"/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3"/>
    </row>
    <row r="48" spans="1:21" s="170" customFormat="1" ht="37.5" customHeight="1" thickBot="1">
      <c r="A48" s="289" t="str">
        <f>A18</f>
        <v>경기도산림환경연구소</v>
      </c>
      <c r="B48" s="290"/>
      <c r="C48" s="290"/>
      <c r="D48" s="290"/>
      <c r="E48" s="290"/>
      <c r="F48" s="290"/>
      <c r="G48" s="290"/>
      <c r="H48" s="290"/>
      <c r="I48" s="290"/>
      <c r="J48" s="290"/>
      <c r="K48" s="290"/>
      <c r="L48" s="290"/>
      <c r="M48" s="290"/>
      <c r="N48" s="290"/>
      <c r="O48" s="290"/>
      <c r="P48" s="290"/>
      <c r="Q48" s="290"/>
      <c r="R48" s="291"/>
    </row>
  </sheetData>
  <mergeCells count="20">
    <mergeCell ref="A34:R34"/>
    <mergeCell ref="A35:R35"/>
    <mergeCell ref="A48:R48"/>
    <mergeCell ref="G28:H31"/>
    <mergeCell ref="I28:J31"/>
    <mergeCell ref="K28:L31"/>
    <mergeCell ref="M28:N29"/>
    <mergeCell ref="O28:R29"/>
    <mergeCell ref="M30:N31"/>
    <mergeCell ref="O30:R31"/>
    <mergeCell ref="A28:A31"/>
    <mergeCell ref="B28:B31"/>
    <mergeCell ref="C28:C31"/>
    <mergeCell ref="D28:E31"/>
    <mergeCell ref="F28:F31"/>
    <mergeCell ref="A8:R8"/>
    <mergeCell ref="A10:R10"/>
    <mergeCell ref="A11:R11"/>
    <mergeCell ref="A12:R12"/>
    <mergeCell ref="A18:R1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1"/>
  <sheetViews>
    <sheetView workbookViewId="0">
      <selection activeCell="E4" sqref="E4"/>
    </sheetView>
  </sheetViews>
  <sheetFormatPr defaultRowHeight="14.25"/>
  <cols>
    <col min="1" max="1" width="3.109375" style="166" customWidth="1"/>
    <col min="2" max="3" width="3.77734375" style="166" customWidth="1"/>
    <col min="4" max="4" width="1.77734375" style="166" customWidth="1"/>
    <col min="5" max="6" width="3.77734375" style="166" customWidth="1"/>
    <col min="7" max="7" width="7.5546875" style="166" customWidth="1"/>
    <col min="8" max="27" width="3.77734375" style="166" customWidth="1"/>
    <col min="28" max="28" width="5" style="166" customWidth="1"/>
  </cols>
  <sheetData>
    <row r="1" spans="1:28" ht="84.75" customHeight="1">
      <c r="A1" s="307" t="s">
        <v>113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9"/>
    </row>
    <row r="2" spans="1:28" ht="57" customHeight="1">
      <c r="A2" s="154"/>
      <c r="B2" s="155" t="s">
        <v>225</v>
      </c>
      <c r="C2" s="155"/>
      <c r="D2" s="155"/>
      <c r="E2" s="156"/>
      <c r="F2" s="156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6"/>
      <c r="AB2" s="158"/>
    </row>
    <row r="3" spans="1:28" ht="57" customHeight="1">
      <c r="A3" s="154"/>
      <c r="B3" s="156" t="s">
        <v>165</v>
      </c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9"/>
    </row>
    <row r="4" spans="1:28" ht="57" customHeight="1">
      <c r="A4" s="154"/>
      <c r="B4" s="156" t="s">
        <v>208</v>
      </c>
      <c r="C4" s="156"/>
      <c r="D4" s="156"/>
      <c r="E4" s="231">
        <f>표지!E39</f>
        <v>692</v>
      </c>
      <c r="F4" s="156" t="s">
        <v>226</v>
      </c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56"/>
      <c r="X4" s="156"/>
      <c r="Y4" s="156"/>
      <c r="Z4" s="156"/>
      <c r="AA4" s="156"/>
      <c r="AB4" s="159"/>
    </row>
    <row r="5" spans="1:28" ht="57" customHeight="1">
      <c r="A5" s="154"/>
      <c r="B5" s="156" t="s">
        <v>221</v>
      </c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9"/>
    </row>
    <row r="6" spans="1:28" ht="57" customHeight="1">
      <c r="A6" s="154"/>
      <c r="B6" s="310" t="s">
        <v>227</v>
      </c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1"/>
    </row>
    <row r="7" spans="1:28" ht="23.25" customHeight="1">
      <c r="A7" s="154"/>
      <c r="B7" s="156"/>
      <c r="C7" s="156"/>
      <c r="D7" s="155" t="s">
        <v>114</v>
      </c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55"/>
      <c r="Y7" s="155"/>
      <c r="Z7" s="155"/>
      <c r="AA7" s="155"/>
      <c r="AB7" s="160"/>
    </row>
    <row r="8" spans="1:28" ht="32.25" customHeight="1">
      <c r="A8" s="161"/>
      <c r="B8" s="162"/>
      <c r="C8" s="312"/>
      <c r="D8" s="312"/>
      <c r="E8" s="312"/>
      <c r="F8" s="312"/>
      <c r="G8" s="163"/>
      <c r="H8" s="164"/>
      <c r="I8" s="313"/>
      <c r="J8" s="313"/>
      <c r="K8" s="313"/>
      <c r="L8" s="313"/>
      <c r="M8" s="313"/>
      <c r="N8" s="313"/>
      <c r="O8" s="313"/>
      <c r="P8" s="313"/>
      <c r="Q8" s="313"/>
      <c r="R8" s="313"/>
      <c r="S8" s="313"/>
      <c r="T8" s="313"/>
      <c r="U8" s="164"/>
      <c r="V8" s="164"/>
      <c r="W8" s="164"/>
      <c r="X8" s="164"/>
      <c r="Y8" s="164"/>
      <c r="Z8" s="164"/>
      <c r="AA8" s="164"/>
      <c r="AB8" s="165"/>
    </row>
    <row r="23" spans="5:19" ht="18">
      <c r="F23" s="167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</row>
    <row r="24" spans="5:19" ht="18">
      <c r="F24" s="167"/>
      <c r="G24" s="168"/>
      <c r="H24" s="168"/>
      <c r="I24" s="168"/>
      <c r="J24" s="168"/>
      <c r="K24" s="168"/>
      <c r="L24" s="168"/>
      <c r="M24" s="168"/>
      <c r="N24" s="168"/>
      <c r="O24" s="168"/>
      <c r="P24" s="168"/>
      <c r="Q24" s="168"/>
    </row>
    <row r="25" spans="5:19" ht="18">
      <c r="F25" s="167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</row>
    <row r="26" spans="5:19" ht="18">
      <c r="F26" s="169"/>
    </row>
    <row r="27" spans="5:19" ht="18"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</row>
    <row r="28" spans="5:19" ht="18"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69"/>
    </row>
    <row r="29" spans="5:19" ht="18">
      <c r="F29" s="169"/>
    </row>
    <row r="30" spans="5:19" ht="18"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69"/>
    </row>
    <row r="31" spans="5:19" ht="18"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69"/>
    </row>
  </sheetData>
  <mergeCells count="4">
    <mergeCell ref="A1:AB1"/>
    <mergeCell ref="B6:AB6"/>
    <mergeCell ref="C8:F8"/>
    <mergeCell ref="I8:T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3"/>
  <sheetViews>
    <sheetView workbookViewId="0">
      <selection activeCell="F7" sqref="F7"/>
    </sheetView>
  </sheetViews>
  <sheetFormatPr defaultRowHeight="14.25"/>
  <cols>
    <col min="1" max="1" width="15.44140625" style="153" customWidth="1"/>
    <col min="2" max="13" width="5.6640625" style="153" customWidth="1"/>
    <col min="14" max="14" width="6.109375" style="153" customWidth="1"/>
  </cols>
  <sheetData>
    <row r="1" spans="1:14" s="24" customFormat="1" ht="28.5" customHeight="1">
      <c r="A1" s="141"/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</row>
    <row r="2" spans="1:14" s="24" customFormat="1" ht="28.5" customHeight="1">
      <c r="A2" s="314" t="s">
        <v>125</v>
      </c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</row>
    <row r="3" spans="1:14" s="24" customFormat="1" ht="28.5" customHeight="1" thickBot="1">
      <c r="A3" s="142" t="s">
        <v>228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4" t="s">
        <v>220</v>
      </c>
    </row>
    <row r="4" spans="1:14" s="24" customFormat="1" ht="30" customHeight="1" thickBot="1">
      <c r="A4" s="145" t="s">
        <v>126</v>
      </c>
      <c r="B4" s="145">
        <v>5</v>
      </c>
      <c r="C4" s="145">
        <v>10</v>
      </c>
      <c r="D4" s="145">
        <v>15</v>
      </c>
      <c r="E4" s="145">
        <v>20</v>
      </c>
      <c r="F4" s="145">
        <v>25</v>
      </c>
      <c r="G4" s="145">
        <v>30</v>
      </c>
      <c r="H4" s="145">
        <v>35</v>
      </c>
      <c r="I4" s="145">
        <v>40</v>
      </c>
      <c r="J4" s="145">
        <v>45</v>
      </c>
      <c r="K4" s="145">
        <v>50</v>
      </c>
      <c r="L4" s="145">
        <v>55</v>
      </c>
      <c r="M4" s="145">
        <v>60</v>
      </c>
      <c r="N4" s="145" t="s">
        <v>127</v>
      </c>
    </row>
    <row r="5" spans="1:14" s="24" customFormat="1" ht="30" customHeight="1" thickTop="1">
      <c r="A5" s="315" t="s">
        <v>128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</row>
    <row r="6" spans="1:14" s="24" customFormat="1" ht="30" customHeight="1">
      <c r="A6" s="316"/>
      <c r="B6" s="148"/>
      <c r="C6" s="149"/>
      <c r="D6" s="149"/>
      <c r="E6" s="149"/>
      <c r="F6" s="149"/>
      <c r="G6" s="149"/>
      <c r="H6" s="149"/>
      <c r="I6" s="147"/>
      <c r="J6" s="147"/>
      <c r="K6" s="147"/>
      <c r="L6" s="147"/>
      <c r="M6" s="147"/>
      <c r="N6" s="147"/>
    </row>
    <row r="7" spans="1:14" s="24" customFormat="1" ht="30" customHeight="1">
      <c r="A7" s="317"/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</row>
    <row r="8" spans="1:14" s="24" customFormat="1" ht="30" customHeight="1">
      <c r="A8" s="318" t="s">
        <v>129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</row>
    <row r="9" spans="1:14" s="24" customFormat="1" ht="30" customHeight="1">
      <c r="A9" s="316"/>
      <c r="B9" s="147"/>
      <c r="C9" s="148"/>
      <c r="D9" s="148"/>
      <c r="E9" s="148"/>
      <c r="F9" s="148"/>
      <c r="G9" s="148"/>
      <c r="H9" s="148"/>
      <c r="I9" s="148"/>
      <c r="J9" s="148"/>
      <c r="K9" s="148"/>
      <c r="L9" s="149"/>
      <c r="M9" s="149"/>
      <c r="N9" s="147"/>
    </row>
    <row r="10" spans="1:14" s="24" customFormat="1" ht="30" customHeight="1">
      <c r="A10" s="317"/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</row>
    <row r="11" spans="1:14" s="24" customFormat="1" ht="30" customHeight="1">
      <c r="A11" s="316" t="s">
        <v>130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</row>
    <row r="12" spans="1:14" s="24" customFormat="1" ht="30" customHeight="1">
      <c r="A12" s="316"/>
      <c r="B12" s="147"/>
      <c r="C12" s="147"/>
      <c r="D12" s="147"/>
      <c r="E12" s="147"/>
      <c r="F12" s="147"/>
      <c r="G12" s="147"/>
      <c r="H12" s="147"/>
      <c r="I12" s="148"/>
      <c r="J12" s="148"/>
      <c r="K12" s="148"/>
      <c r="L12" s="148"/>
      <c r="M12" s="148"/>
      <c r="N12" s="147"/>
    </row>
    <row r="13" spans="1:14" s="24" customFormat="1" ht="30" customHeight="1" thickBot="1">
      <c r="A13" s="319"/>
      <c r="B13" s="152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</row>
  </sheetData>
  <mergeCells count="4">
    <mergeCell ref="A2:N2"/>
    <mergeCell ref="A5:A7"/>
    <mergeCell ref="A8:A10"/>
    <mergeCell ref="A11:A1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7"/>
  <dimension ref="A1:N32"/>
  <sheetViews>
    <sheetView showGridLines="0" tabSelected="1" view="pageBreakPreview" zoomScale="70" zoomScaleNormal="80" zoomScaleSheetLayoutView="70" workbookViewId="0">
      <selection activeCell="F10" sqref="F10"/>
    </sheetView>
  </sheetViews>
  <sheetFormatPr defaultRowHeight="14.25"/>
  <cols>
    <col min="1" max="2" width="6.21875" style="139" customWidth="1"/>
    <col min="3" max="3" width="27.109375" style="139" customWidth="1"/>
    <col min="4" max="4" width="17.88671875" style="139" hidden="1" customWidth="1"/>
    <col min="5" max="5" width="18.88671875" style="139" customWidth="1"/>
    <col min="6" max="6" width="10.33203125" style="139" bestFit="1" customWidth="1"/>
    <col min="7" max="7" width="11.88671875" style="139" customWidth="1"/>
    <col min="8" max="8" width="16.33203125" style="139" bestFit="1" customWidth="1"/>
    <col min="9" max="9" width="9.33203125" style="139" bestFit="1" customWidth="1"/>
    <col min="10" max="10" width="19.88671875" style="139" customWidth="1"/>
    <col min="11" max="11" width="8.88671875" style="2"/>
    <col min="12" max="13" width="0" style="2" hidden="1" customWidth="1"/>
    <col min="14" max="14" width="0" style="223" hidden="1" customWidth="1"/>
    <col min="15" max="16384" width="8.88671875" style="2"/>
  </cols>
  <sheetData>
    <row r="1" spans="1:14" s="1" customFormat="1" ht="24.75" customHeight="1">
      <c r="A1" s="320" t="s">
        <v>89</v>
      </c>
      <c r="B1" s="320"/>
      <c r="C1" s="320"/>
      <c r="D1" s="320"/>
      <c r="E1" s="320"/>
      <c r="F1" s="320"/>
      <c r="G1" s="320"/>
      <c r="H1" s="320"/>
      <c r="I1" s="320"/>
      <c r="J1" s="320"/>
      <c r="N1" s="221"/>
    </row>
    <row r="2" spans="1:14" s="1" customFormat="1" ht="17.25" customHeight="1">
      <c r="A2" s="82"/>
      <c r="B2" s="82"/>
      <c r="C2" s="82"/>
      <c r="D2" s="103"/>
      <c r="E2" s="103"/>
      <c r="F2" s="103"/>
      <c r="G2" s="103"/>
      <c r="H2" s="103"/>
      <c r="I2" s="104"/>
      <c r="J2" s="104"/>
      <c r="N2" s="221"/>
    </row>
    <row r="3" spans="1:14" s="1" customFormat="1" ht="17.25" customHeight="1">
      <c r="A3" s="105" t="s">
        <v>222</v>
      </c>
      <c r="B3" s="82"/>
      <c r="C3" s="105"/>
      <c r="D3" s="106"/>
      <c r="E3" s="106"/>
      <c r="F3" s="106"/>
      <c r="G3" s="106"/>
      <c r="H3" s="106"/>
      <c r="I3" s="82"/>
      <c r="J3" s="82"/>
      <c r="N3" s="221"/>
    </row>
    <row r="4" spans="1:14" s="1" customFormat="1" ht="25.5" hidden="1" customHeight="1">
      <c r="A4" s="105" t="s">
        <v>14</v>
      </c>
      <c r="B4" s="82"/>
      <c r="C4" s="82"/>
      <c r="D4" s="106"/>
      <c r="E4" s="106"/>
      <c r="F4" s="106"/>
      <c r="G4" s="106"/>
      <c r="H4" s="106"/>
      <c r="I4" s="82"/>
      <c r="J4" s="82"/>
      <c r="N4" s="221"/>
    </row>
    <row r="5" spans="1:14" s="1" customFormat="1" ht="19.5" hidden="1" customHeight="1">
      <c r="A5" s="105" t="s">
        <v>15</v>
      </c>
      <c r="B5" s="82"/>
      <c r="C5" s="82"/>
      <c r="D5" s="106"/>
      <c r="E5" s="106"/>
      <c r="F5" s="106"/>
      <c r="G5" s="106"/>
      <c r="H5" s="106"/>
      <c r="I5" s="82"/>
      <c r="J5" s="82"/>
      <c r="N5" s="221"/>
    </row>
    <row r="6" spans="1:14" s="1" customFormat="1" ht="19.5" customHeight="1">
      <c r="A6" s="82"/>
      <c r="B6" s="82"/>
      <c r="C6" s="82"/>
      <c r="D6" s="106"/>
      <c r="E6" s="106"/>
      <c r="F6" s="106"/>
      <c r="G6" s="106"/>
      <c r="H6" s="106"/>
      <c r="I6" s="82"/>
      <c r="J6" s="82"/>
      <c r="N6" s="221"/>
    </row>
    <row r="7" spans="1:14" s="1" customFormat="1" ht="28.5" customHeight="1">
      <c r="A7" s="321" t="s">
        <v>37</v>
      </c>
      <c r="B7" s="322"/>
      <c r="C7" s="323"/>
      <c r="D7" s="107" t="s">
        <v>16</v>
      </c>
      <c r="E7" s="108" t="s">
        <v>17</v>
      </c>
      <c r="F7" s="108" t="s">
        <v>35</v>
      </c>
      <c r="G7" s="331" t="s">
        <v>34</v>
      </c>
      <c r="H7" s="332"/>
      <c r="I7" s="332"/>
      <c r="J7" s="333"/>
      <c r="L7" s="222" t="s">
        <v>206</v>
      </c>
      <c r="N7" s="221" t="s">
        <v>207</v>
      </c>
    </row>
    <row r="8" spans="1:14" s="1" customFormat="1" ht="28.5" customHeight="1">
      <c r="A8" s="324" t="s">
        <v>0</v>
      </c>
      <c r="B8" s="327" t="s">
        <v>1</v>
      </c>
      <c r="C8" s="109" t="s">
        <v>2</v>
      </c>
      <c r="D8" s="110" t="e">
        <f>설계내역서!#REF!</f>
        <v>#REF!</v>
      </c>
      <c r="E8" s="111"/>
      <c r="F8" s="112"/>
      <c r="G8" s="337"/>
      <c r="H8" s="338"/>
      <c r="I8" s="338"/>
      <c r="J8" s="339"/>
      <c r="N8" s="221"/>
    </row>
    <row r="9" spans="1:14" s="1" customFormat="1" ht="28.5" customHeight="1">
      <c r="A9" s="325"/>
      <c r="B9" s="328"/>
      <c r="C9" s="113" t="s">
        <v>3</v>
      </c>
      <c r="D9" s="114"/>
      <c r="E9" s="115"/>
      <c r="F9" s="116"/>
      <c r="G9" s="334"/>
      <c r="H9" s="335"/>
      <c r="I9" s="335"/>
      <c r="J9" s="336"/>
      <c r="N9" s="221"/>
    </row>
    <row r="10" spans="1:14" s="1" customFormat="1" ht="28.5" customHeight="1">
      <c r="A10" s="325"/>
      <c r="B10" s="329"/>
      <c r="C10" s="117" t="s">
        <v>4</v>
      </c>
      <c r="D10" s="118" t="e">
        <f>SUM(D8,D9)</f>
        <v>#REF!</v>
      </c>
      <c r="E10" s="119"/>
      <c r="F10" s="218"/>
      <c r="G10" s="342"/>
      <c r="H10" s="343"/>
      <c r="I10" s="343"/>
      <c r="J10" s="344"/>
      <c r="N10" s="221"/>
    </row>
    <row r="11" spans="1:14" s="1" customFormat="1" ht="28.5" customHeight="1">
      <c r="A11" s="325"/>
      <c r="B11" s="330" t="s">
        <v>5</v>
      </c>
      <c r="C11" s="113" t="s">
        <v>6</v>
      </c>
      <c r="D11" s="114" t="e">
        <f>설계내역서!#REF!</f>
        <v>#REF!</v>
      </c>
      <c r="E11" s="115"/>
      <c r="F11" s="120"/>
      <c r="G11" s="334"/>
      <c r="H11" s="335"/>
      <c r="I11" s="335"/>
      <c r="J11" s="336"/>
      <c r="N11" s="221"/>
    </row>
    <row r="12" spans="1:14" s="1" customFormat="1" ht="28.5" customHeight="1">
      <c r="A12" s="325"/>
      <c r="B12" s="328"/>
      <c r="C12" s="113" t="s">
        <v>7</v>
      </c>
      <c r="D12" s="121" t="e">
        <f>D11*J12</f>
        <v>#REF!</v>
      </c>
      <c r="E12" s="122"/>
      <c r="F12" s="120"/>
      <c r="G12" s="340" t="s">
        <v>18</v>
      </c>
      <c r="H12" s="341"/>
      <c r="I12" s="341"/>
      <c r="J12" s="224">
        <v>0.184</v>
      </c>
      <c r="L12" s="220">
        <v>0.13800000000000001</v>
      </c>
      <c r="N12" s="220">
        <v>0.13700000000000001</v>
      </c>
    </row>
    <row r="13" spans="1:14" s="1" customFormat="1" ht="28.5" customHeight="1">
      <c r="A13" s="325"/>
      <c r="B13" s="329"/>
      <c r="C13" s="117" t="s">
        <v>4</v>
      </c>
      <c r="D13" s="118" t="e">
        <f>SUM(D11,D12)</f>
        <v>#REF!</v>
      </c>
      <c r="E13" s="119"/>
      <c r="F13" s="218"/>
      <c r="G13" s="345" t="s">
        <v>8</v>
      </c>
      <c r="H13" s="346"/>
      <c r="I13" s="346"/>
      <c r="J13" s="347"/>
      <c r="N13" s="221"/>
    </row>
    <row r="14" spans="1:14" s="1" customFormat="1" ht="28.5" customHeight="1">
      <c r="A14" s="325"/>
      <c r="B14" s="330" t="s">
        <v>31</v>
      </c>
      <c r="C14" s="113" t="s">
        <v>32</v>
      </c>
      <c r="D14" s="129"/>
      <c r="E14" s="115"/>
      <c r="F14" s="120"/>
      <c r="G14" s="126"/>
      <c r="H14" s="127"/>
      <c r="I14" s="127"/>
      <c r="J14" s="128"/>
      <c r="N14" s="221"/>
    </row>
    <row r="15" spans="1:14" s="1" customFormat="1" ht="28.5" customHeight="1">
      <c r="A15" s="325"/>
      <c r="B15" s="328"/>
      <c r="C15" s="113" t="s">
        <v>27</v>
      </c>
      <c r="D15" s="129"/>
      <c r="E15" s="115"/>
      <c r="F15" s="120"/>
      <c r="G15" s="126"/>
      <c r="H15" s="127"/>
      <c r="I15" s="127"/>
      <c r="J15" s="128"/>
      <c r="N15" s="221"/>
    </row>
    <row r="16" spans="1:14" s="1" customFormat="1" ht="28.5" customHeight="1">
      <c r="A16" s="325"/>
      <c r="B16" s="328"/>
      <c r="C16" s="113" t="s">
        <v>9</v>
      </c>
      <c r="D16" s="130" t="e">
        <f>D13*$J$16</f>
        <v>#REF!</v>
      </c>
      <c r="E16" s="122">
        <f>TRUNC($E$13*J16)</f>
        <v>0</v>
      </c>
      <c r="F16" s="120"/>
      <c r="G16" s="340" t="s">
        <v>19</v>
      </c>
      <c r="H16" s="341"/>
      <c r="I16" s="341"/>
      <c r="J16" s="224">
        <v>5.8599999999999999E-2</v>
      </c>
      <c r="L16" s="220">
        <v>3.6999999999999998E-2</v>
      </c>
      <c r="N16" s="220">
        <v>3.6999999999999998E-2</v>
      </c>
    </row>
    <row r="17" spans="1:14" s="1" customFormat="1" ht="28.5" customHeight="1">
      <c r="A17" s="325"/>
      <c r="B17" s="328"/>
      <c r="C17" s="113" t="s">
        <v>21</v>
      </c>
      <c r="D17" s="130"/>
      <c r="E17" s="122"/>
      <c r="F17" s="120"/>
      <c r="G17" s="340" t="s">
        <v>19</v>
      </c>
      <c r="H17" s="341"/>
      <c r="I17" s="341"/>
      <c r="J17" s="224">
        <v>1.15E-2</v>
      </c>
      <c r="L17" s="220">
        <v>1.01E-2</v>
      </c>
      <c r="N17" s="220">
        <v>1.01E-2</v>
      </c>
    </row>
    <row r="18" spans="1:14" s="1" customFormat="1" ht="28.5" customHeight="1">
      <c r="A18" s="325"/>
      <c r="B18" s="328"/>
      <c r="C18" s="113" t="s">
        <v>22</v>
      </c>
      <c r="D18" s="130"/>
      <c r="E18" s="122">
        <v>817801</v>
      </c>
      <c r="F18" s="120"/>
      <c r="G18" s="340" t="s">
        <v>26</v>
      </c>
      <c r="H18" s="341"/>
      <c r="I18" s="341"/>
      <c r="J18" s="224">
        <v>3.5950000000000003E-2</v>
      </c>
      <c r="L18" s="220">
        <v>3.5400000000000001E-2</v>
      </c>
      <c r="N18" s="220">
        <v>3.5400000000000001E-2</v>
      </c>
    </row>
    <row r="19" spans="1:14" s="1" customFormat="1" ht="28.5" customHeight="1">
      <c r="A19" s="325"/>
      <c r="B19" s="328"/>
      <c r="C19" s="113" t="s">
        <v>23</v>
      </c>
      <c r="D19" s="130" t="e">
        <f>(D9+D10)*$J$20</f>
        <v>#REF!</v>
      </c>
      <c r="E19" s="122">
        <v>1080543.8324579475</v>
      </c>
      <c r="F19" s="120"/>
      <c r="G19" s="340" t="s">
        <v>26</v>
      </c>
      <c r="H19" s="341"/>
      <c r="I19" s="341"/>
      <c r="J19" s="125">
        <v>4.7500000000000001E-2</v>
      </c>
      <c r="N19" s="221"/>
    </row>
    <row r="20" spans="1:14" s="1" customFormat="1" ht="28.5" customHeight="1">
      <c r="A20" s="325"/>
      <c r="B20" s="328"/>
      <c r="C20" s="113" t="s">
        <v>33</v>
      </c>
      <c r="D20" s="130" t="e">
        <f>(D10+D11)*$J$20</f>
        <v>#REF!</v>
      </c>
      <c r="E20" s="122">
        <v>471951.88331038796</v>
      </c>
      <c r="F20" s="120"/>
      <c r="G20" s="340" t="s">
        <v>170</v>
      </c>
      <c r="H20" s="341"/>
      <c r="I20" s="341"/>
      <c r="J20" s="125">
        <v>2.07E-2</v>
      </c>
      <c r="N20" s="221"/>
    </row>
    <row r="21" spans="1:14" s="1" customFormat="1" ht="28.5" customHeight="1">
      <c r="A21" s="325"/>
      <c r="B21" s="328"/>
      <c r="C21" s="113" t="s">
        <v>265</v>
      </c>
      <c r="D21" s="130"/>
      <c r="E21" s="122"/>
      <c r="F21" s="120"/>
      <c r="G21" s="266"/>
      <c r="H21" s="267" t="s">
        <v>19</v>
      </c>
      <c r="I21" s="267"/>
      <c r="J21" s="269">
        <v>6.0000000000000002E-5</v>
      </c>
      <c r="N21" s="221"/>
    </row>
    <row r="22" spans="1:14" s="1" customFormat="1" ht="28.5" customHeight="1">
      <c r="A22" s="325"/>
      <c r="B22" s="328"/>
      <c r="C22" s="113" t="s">
        <v>266</v>
      </c>
      <c r="D22" s="130"/>
      <c r="E22" s="122"/>
      <c r="F22" s="120"/>
      <c r="G22" s="266"/>
      <c r="H22" s="267" t="s">
        <v>19</v>
      </c>
      <c r="I22" s="267"/>
      <c r="J22" s="268">
        <v>8.9999999999999998E-4</v>
      </c>
      <c r="N22" s="221"/>
    </row>
    <row r="23" spans="1:14" s="1" customFormat="1" ht="28.5" customHeight="1">
      <c r="A23" s="325"/>
      <c r="B23" s="328"/>
      <c r="C23" s="113" t="s">
        <v>38</v>
      </c>
      <c r="D23" s="130"/>
      <c r="E23" s="122">
        <v>107459.0514</v>
      </c>
      <c r="F23" s="120"/>
      <c r="G23" s="123"/>
      <c r="H23" s="124" t="s">
        <v>39</v>
      </c>
      <c r="I23" s="124"/>
      <c r="J23" s="224">
        <v>0.13139999999999999</v>
      </c>
      <c r="L23" s="220">
        <v>0.12809999999999999</v>
      </c>
      <c r="N23" s="220">
        <v>0.12809999999999999</v>
      </c>
    </row>
    <row r="24" spans="1:14" s="1" customFormat="1" ht="28.5" customHeight="1">
      <c r="A24" s="326"/>
      <c r="B24" s="329"/>
      <c r="C24" s="117" t="s">
        <v>4</v>
      </c>
      <c r="D24" s="118" t="e">
        <f>SUM(#REF!,#REF!,D16,D20,#REF!)</f>
        <v>#REF!</v>
      </c>
      <c r="E24" s="119"/>
      <c r="F24" s="218"/>
      <c r="G24" s="342"/>
      <c r="H24" s="343"/>
      <c r="I24" s="343"/>
      <c r="J24" s="344"/>
      <c r="N24" s="221"/>
    </row>
    <row r="25" spans="1:14" s="1" customFormat="1" ht="28.5" customHeight="1">
      <c r="A25" s="351" t="s">
        <v>29</v>
      </c>
      <c r="B25" s="352"/>
      <c r="C25" s="353"/>
      <c r="D25" s="118"/>
      <c r="E25" s="119"/>
      <c r="F25" s="218"/>
      <c r="G25" s="340" t="s">
        <v>87</v>
      </c>
      <c r="H25" s="341"/>
      <c r="I25" s="341"/>
      <c r="J25" s="125">
        <v>0.08</v>
      </c>
      <c r="N25" s="221"/>
    </row>
    <row r="26" spans="1:14" s="1" customFormat="1" ht="28.5" customHeight="1">
      <c r="A26" s="351" t="s">
        <v>30</v>
      </c>
      <c r="B26" s="352"/>
      <c r="C26" s="353"/>
      <c r="D26" s="118"/>
      <c r="E26" s="119"/>
      <c r="F26" s="218"/>
      <c r="G26" s="340" t="s">
        <v>86</v>
      </c>
      <c r="H26" s="341"/>
      <c r="I26" s="341"/>
      <c r="J26" s="125">
        <v>0.15</v>
      </c>
      <c r="N26" s="221"/>
    </row>
    <row r="27" spans="1:14" s="1" customFormat="1" ht="28.5" customHeight="1">
      <c r="A27" s="351" t="s">
        <v>90</v>
      </c>
      <c r="B27" s="352"/>
      <c r="C27" s="353"/>
      <c r="D27" s="118"/>
      <c r="E27" s="119"/>
      <c r="F27" s="218"/>
      <c r="G27" s="340" t="s">
        <v>167</v>
      </c>
      <c r="H27" s="341"/>
      <c r="I27" s="341"/>
      <c r="J27" s="356"/>
      <c r="N27" s="221"/>
    </row>
    <row r="28" spans="1:14" s="1" customFormat="1" ht="28.5" customHeight="1">
      <c r="A28" s="348" t="s">
        <v>36</v>
      </c>
      <c r="B28" s="349"/>
      <c r="C28" s="350"/>
      <c r="D28" s="131"/>
      <c r="E28" s="132"/>
      <c r="F28" s="219"/>
      <c r="G28" s="357" t="s">
        <v>85</v>
      </c>
      <c r="H28" s="358"/>
      <c r="I28" s="358"/>
      <c r="J28" s="133"/>
      <c r="N28" s="221"/>
    </row>
    <row r="29" spans="1:14" s="1" customFormat="1" ht="28.5" customHeight="1">
      <c r="A29" s="354" t="s">
        <v>131</v>
      </c>
      <c r="B29" s="355"/>
      <c r="C29" s="355"/>
      <c r="D29" s="134"/>
      <c r="E29" s="135">
        <f>TRUNC(E28,-3)</f>
        <v>0</v>
      </c>
      <c r="F29" s="136"/>
      <c r="G29" s="137"/>
      <c r="H29" s="137" t="s">
        <v>132</v>
      </c>
      <c r="I29" s="137"/>
      <c r="J29" s="138"/>
      <c r="N29" s="221"/>
    </row>
    <row r="30" spans="1:14">
      <c r="D30" s="140"/>
      <c r="E30" s="140"/>
      <c r="F30" s="140"/>
      <c r="G30" s="140"/>
      <c r="H30" s="140"/>
    </row>
    <row r="31" spans="1:14">
      <c r="E31" s="140"/>
      <c r="F31" s="140"/>
      <c r="G31" s="140"/>
      <c r="H31" s="140"/>
    </row>
    <row r="32" spans="1:14" hidden="1">
      <c r="I32" s="139">
        <v>331849536</v>
      </c>
    </row>
  </sheetData>
  <mergeCells count="28">
    <mergeCell ref="A28:C28"/>
    <mergeCell ref="G25:I25"/>
    <mergeCell ref="B14:B24"/>
    <mergeCell ref="A27:C27"/>
    <mergeCell ref="A29:C29"/>
    <mergeCell ref="G27:J27"/>
    <mergeCell ref="A26:C26"/>
    <mergeCell ref="A25:C25"/>
    <mergeCell ref="G28:I28"/>
    <mergeCell ref="G16:I16"/>
    <mergeCell ref="G17:I17"/>
    <mergeCell ref="G18:I18"/>
    <mergeCell ref="G19:I19"/>
    <mergeCell ref="G24:J24"/>
    <mergeCell ref="G26:I26"/>
    <mergeCell ref="A1:J1"/>
    <mergeCell ref="A7:C7"/>
    <mergeCell ref="A8:A24"/>
    <mergeCell ref="B8:B10"/>
    <mergeCell ref="B11:B13"/>
    <mergeCell ref="G7:J7"/>
    <mergeCell ref="G9:J9"/>
    <mergeCell ref="G8:J8"/>
    <mergeCell ref="G11:J11"/>
    <mergeCell ref="G12:I12"/>
    <mergeCell ref="G10:J10"/>
    <mergeCell ref="G20:I20"/>
    <mergeCell ref="G13:J13"/>
  </mergeCells>
  <phoneticPr fontId="2" type="noConversion"/>
  <pageMargins left="0.86" right="0.55118110236220474" top="0.48" bottom="0.3" header="0.23" footer="0"/>
  <pageSetup paperSize="9" scale="7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/>
  <dimension ref="A1:M21"/>
  <sheetViews>
    <sheetView showZeros="0" view="pageBreakPreview" zoomScale="85" zoomScaleNormal="75" zoomScaleSheetLayoutView="85" workbookViewId="0">
      <selection activeCell="F10" sqref="F10"/>
    </sheetView>
  </sheetViews>
  <sheetFormatPr defaultRowHeight="12.75"/>
  <cols>
    <col min="1" max="1" width="9.33203125" style="83" customWidth="1"/>
    <col min="2" max="2" width="11.5546875" style="83" customWidth="1"/>
    <col min="3" max="3" width="5" style="83" bestFit="1" customWidth="1"/>
    <col min="4" max="4" width="10.6640625" style="83" customWidth="1"/>
    <col min="5" max="5" width="15.44140625" style="83" customWidth="1"/>
    <col min="6" max="6" width="15.21875" style="84" customWidth="1"/>
    <col min="7" max="7" width="12.109375" style="83" customWidth="1"/>
    <col min="8" max="8" width="13.44140625" style="84" customWidth="1"/>
    <col min="9" max="9" width="12.44140625" style="84" customWidth="1"/>
    <col min="10" max="10" width="13.44140625" style="84" customWidth="1"/>
    <col min="11" max="11" width="12.6640625" style="84" customWidth="1"/>
    <col min="12" max="12" width="13" style="84" customWidth="1"/>
    <col min="13" max="13" width="11.109375" style="84" customWidth="1"/>
    <col min="14" max="16384" width="8.88671875" style="6"/>
  </cols>
  <sheetData>
    <row r="1" spans="1:13" s="3" customFormat="1" ht="42" customHeight="1">
      <c r="A1" s="359" t="s">
        <v>88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</row>
    <row r="2" spans="1:13" s="3" customFormat="1" ht="17.25" customHeight="1" thickBot="1">
      <c r="A2" s="65"/>
      <c r="B2" s="65"/>
      <c r="C2" s="65"/>
      <c r="D2" s="85"/>
      <c r="E2" s="65"/>
      <c r="F2" s="66"/>
      <c r="G2" s="65"/>
      <c r="H2" s="65"/>
      <c r="I2" s="65"/>
      <c r="J2" s="65"/>
      <c r="K2" s="65"/>
      <c r="L2" s="65"/>
      <c r="M2" s="67"/>
    </row>
    <row r="3" spans="1:13" s="4" customFormat="1" ht="39.950000000000003" customHeight="1" thickTop="1">
      <c r="A3" s="360" t="s">
        <v>75</v>
      </c>
      <c r="B3" s="366" t="s">
        <v>76</v>
      </c>
      <c r="C3" s="362" t="s">
        <v>25</v>
      </c>
      <c r="D3" s="364" t="s">
        <v>72</v>
      </c>
      <c r="E3" s="370" t="s">
        <v>10</v>
      </c>
      <c r="F3" s="371"/>
      <c r="G3" s="372" t="s">
        <v>11</v>
      </c>
      <c r="H3" s="373"/>
      <c r="I3" s="373" t="s">
        <v>12</v>
      </c>
      <c r="J3" s="373"/>
      <c r="K3" s="374" t="s">
        <v>28</v>
      </c>
      <c r="L3" s="372"/>
      <c r="M3" s="368" t="s">
        <v>13</v>
      </c>
    </row>
    <row r="4" spans="1:13" s="4" customFormat="1" ht="39.950000000000003" customHeight="1" thickBot="1">
      <c r="A4" s="361"/>
      <c r="B4" s="367"/>
      <c r="C4" s="363"/>
      <c r="D4" s="365"/>
      <c r="E4" s="204" t="s">
        <v>182</v>
      </c>
      <c r="F4" s="205" t="s">
        <v>24</v>
      </c>
      <c r="G4" s="200" t="s">
        <v>183</v>
      </c>
      <c r="H4" s="70" t="s">
        <v>184</v>
      </c>
      <c r="I4" s="68" t="s">
        <v>183</v>
      </c>
      <c r="J4" s="70" t="s">
        <v>184</v>
      </c>
      <c r="K4" s="70" t="s">
        <v>183</v>
      </c>
      <c r="L4" s="70" t="s">
        <v>184</v>
      </c>
      <c r="M4" s="369"/>
    </row>
    <row r="5" spans="1:13" s="25" customFormat="1" ht="56.25" customHeight="1" thickTop="1">
      <c r="A5" s="86" t="s">
        <v>78</v>
      </c>
      <c r="B5" s="87" t="s">
        <v>171</v>
      </c>
      <c r="C5" s="88" t="s">
        <v>74</v>
      </c>
      <c r="D5" s="225">
        <v>1</v>
      </c>
      <c r="E5" s="206">
        <f>단위환산!D5</f>
        <v>0</v>
      </c>
      <c r="F5" s="207">
        <f t="shared" ref="F5:F10" si="0">E5*D5</f>
        <v>0</v>
      </c>
      <c r="G5" s="201">
        <f>단위환산!F5</f>
        <v>0</v>
      </c>
      <c r="H5" s="76">
        <f t="shared" ref="H5:H10" si="1">G5*D5</f>
        <v>0</v>
      </c>
      <c r="I5" s="76">
        <f>단위환산!H5</f>
        <v>0</v>
      </c>
      <c r="J5" s="76">
        <f t="shared" ref="J5:J10" si="2">I5*D5</f>
        <v>0</v>
      </c>
      <c r="K5" s="76">
        <f>단위환산!J5</f>
        <v>0</v>
      </c>
      <c r="L5" s="76">
        <f t="shared" ref="L5:L10" si="3">K5*D5</f>
        <v>0</v>
      </c>
      <c r="M5" s="89"/>
    </row>
    <row r="6" spans="1:13" s="4" customFormat="1" ht="56.25" customHeight="1">
      <c r="A6" s="71"/>
      <c r="B6" s="72" t="s">
        <v>100</v>
      </c>
      <c r="C6" s="90" t="s">
        <v>74</v>
      </c>
      <c r="D6" s="225">
        <v>1</v>
      </c>
      <c r="E6" s="206">
        <f>단위환산!D6</f>
        <v>0</v>
      </c>
      <c r="F6" s="207">
        <f t="shared" si="0"/>
        <v>0</v>
      </c>
      <c r="G6" s="201">
        <f>단위환산!F6</f>
        <v>0</v>
      </c>
      <c r="H6" s="76">
        <f t="shared" si="1"/>
        <v>0</v>
      </c>
      <c r="I6" s="76">
        <f>단위환산!H6</f>
        <v>0</v>
      </c>
      <c r="J6" s="76">
        <f t="shared" si="2"/>
        <v>0</v>
      </c>
      <c r="K6" s="76">
        <f>단위환산!J6</f>
        <v>0</v>
      </c>
      <c r="L6" s="76">
        <f t="shared" si="3"/>
        <v>0</v>
      </c>
      <c r="M6" s="89"/>
    </row>
    <row r="7" spans="1:13" s="4" customFormat="1" ht="56.25" customHeight="1">
      <c r="A7" s="71"/>
      <c r="B7" s="91" t="s">
        <v>79</v>
      </c>
      <c r="C7" s="90" t="s">
        <v>74</v>
      </c>
      <c r="D7" s="226">
        <v>200</v>
      </c>
      <c r="E7" s="206">
        <f>단위환산!D7</f>
        <v>0</v>
      </c>
      <c r="F7" s="208">
        <f t="shared" si="0"/>
        <v>0</v>
      </c>
      <c r="G7" s="201">
        <f>단위환산!F7</f>
        <v>0</v>
      </c>
      <c r="H7" s="92">
        <f t="shared" si="1"/>
        <v>0</v>
      </c>
      <c r="I7" s="92">
        <f>단위환산!H7</f>
        <v>0</v>
      </c>
      <c r="J7" s="92">
        <f t="shared" si="2"/>
        <v>0</v>
      </c>
      <c r="K7" s="92">
        <f>단위환산!J7</f>
        <v>0</v>
      </c>
      <c r="L7" s="92">
        <f t="shared" si="3"/>
        <v>0</v>
      </c>
      <c r="M7" s="89"/>
    </row>
    <row r="8" spans="1:13" s="4" customFormat="1" ht="56.25" customHeight="1">
      <c r="A8" s="71"/>
      <c r="B8" s="91" t="s">
        <v>81</v>
      </c>
      <c r="C8" s="90" t="s">
        <v>74</v>
      </c>
      <c r="D8" s="236">
        <v>410</v>
      </c>
      <c r="E8" s="206">
        <f>단위환산!D8</f>
        <v>0</v>
      </c>
      <c r="F8" s="208">
        <f t="shared" si="0"/>
        <v>0</v>
      </c>
      <c r="G8" s="201">
        <f>단위환산!F8</f>
        <v>0</v>
      </c>
      <c r="H8" s="92">
        <f t="shared" si="1"/>
        <v>0</v>
      </c>
      <c r="I8" s="92">
        <f>단위환산!H8</f>
        <v>0</v>
      </c>
      <c r="J8" s="92">
        <f t="shared" si="2"/>
        <v>0</v>
      </c>
      <c r="K8" s="92">
        <f>단위환산!J8</f>
        <v>0</v>
      </c>
      <c r="L8" s="92">
        <f t="shared" si="3"/>
        <v>0</v>
      </c>
      <c r="M8" s="93"/>
    </row>
    <row r="9" spans="1:13" s="4" customFormat="1" ht="56.25" customHeight="1">
      <c r="A9" s="71"/>
      <c r="B9" s="242" t="s">
        <v>172</v>
      </c>
      <c r="C9" s="90" t="s">
        <v>74</v>
      </c>
      <c r="D9" s="236">
        <v>50</v>
      </c>
      <c r="E9" s="206">
        <f>E8</f>
        <v>0</v>
      </c>
      <c r="F9" s="208">
        <f t="shared" si="0"/>
        <v>0</v>
      </c>
      <c r="G9" s="201">
        <f>G8</f>
        <v>0</v>
      </c>
      <c r="H9" s="92">
        <f t="shared" si="1"/>
        <v>0</v>
      </c>
      <c r="I9" s="75">
        <f>I8</f>
        <v>0</v>
      </c>
      <c r="J9" s="92">
        <f t="shared" si="2"/>
        <v>0</v>
      </c>
      <c r="K9" s="75">
        <f>K8</f>
        <v>0</v>
      </c>
      <c r="L9" s="92">
        <f t="shared" si="3"/>
        <v>0</v>
      </c>
      <c r="M9" s="93"/>
    </row>
    <row r="10" spans="1:13" s="4" customFormat="1" ht="56.25" customHeight="1" thickBot="1">
      <c r="A10" s="94"/>
      <c r="B10" s="95" t="s">
        <v>229</v>
      </c>
      <c r="C10" s="238" t="s">
        <v>74</v>
      </c>
      <c r="D10" s="237">
        <v>30</v>
      </c>
      <c r="E10" s="209">
        <f>단위환산!D9</f>
        <v>0</v>
      </c>
      <c r="F10" s="239">
        <f t="shared" si="0"/>
        <v>0</v>
      </c>
      <c r="G10" s="202">
        <f>단위환산!F9</f>
        <v>0</v>
      </c>
      <c r="H10" s="240">
        <f t="shared" si="1"/>
        <v>0</v>
      </c>
      <c r="I10" s="96">
        <f>단위환산!H9</f>
        <v>0</v>
      </c>
      <c r="J10" s="240">
        <f t="shared" si="2"/>
        <v>0</v>
      </c>
      <c r="K10" s="96">
        <f>단위환산!J9</f>
        <v>0</v>
      </c>
      <c r="L10" s="240">
        <f t="shared" si="3"/>
        <v>0</v>
      </c>
      <c r="M10" s="241"/>
    </row>
    <row r="11" spans="1:13" s="5" customFormat="1" ht="43.5" customHeight="1" thickTop="1" thickBot="1">
      <c r="A11" s="97" t="s">
        <v>20</v>
      </c>
      <c r="B11" s="98"/>
      <c r="C11" s="99"/>
      <c r="D11" s="199">
        <f>SUM(D5:D10)</f>
        <v>692</v>
      </c>
      <c r="E11" s="210"/>
      <c r="F11" s="211">
        <f>SUM(F5:F10)</f>
        <v>0</v>
      </c>
      <c r="G11" s="203"/>
      <c r="H11" s="100">
        <f>SUM(H5:H10)</f>
        <v>0</v>
      </c>
      <c r="I11" s="100"/>
      <c r="J11" s="100">
        <f>SUM(J5:J10)</f>
        <v>0</v>
      </c>
      <c r="K11" s="100"/>
      <c r="L11" s="100">
        <f>SUM(L5:L10)</f>
        <v>0</v>
      </c>
      <c r="M11" s="101"/>
    </row>
    <row r="12" spans="1:13" ht="12" customHeight="1" thickTop="1">
      <c r="A12" s="82"/>
      <c r="B12" s="82"/>
    </row>
    <row r="13" spans="1:13" ht="21" hidden="1" customHeight="1">
      <c r="H13" s="84">
        <v>1089782</v>
      </c>
      <c r="I13" s="84">
        <v>392071</v>
      </c>
    </row>
    <row r="14" spans="1:13" ht="21" hidden="1" customHeight="1">
      <c r="H14" s="84">
        <v>1050861</v>
      </c>
      <c r="I14" s="84">
        <v>500033</v>
      </c>
    </row>
    <row r="15" spans="1:13" ht="21" hidden="1" customHeight="1">
      <c r="H15" s="84">
        <v>934099</v>
      </c>
      <c r="I15" s="84">
        <v>375025</v>
      </c>
    </row>
    <row r="16" spans="1:13" ht="21" hidden="1" customHeight="1">
      <c r="H16" s="84">
        <v>973020</v>
      </c>
      <c r="I16" s="84">
        <v>113644</v>
      </c>
    </row>
    <row r="17" spans="4:9" ht="21" hidden="1" customHeight="1">
      <c r="H17" s="84">
        <v>583812</v>
      </c>
      <c r="I17" s="84">
        <v>340932</v>
      </c>
    </row>
    <row r="18" spans="4:9" ht="21" hidden="1" customHeight="1">
      <c r="H18" s="84">
        <v>583812</v>
      </c>
      <c r="I18" s="84">
        <v>340932</v>
      </c>
    </row>
    <row r="19" spans="4:9" ht="29.25" hidden="1" customHeight="1">
      <c r="H19" s="84">
        <v>583812</v>
      </c>
      <c r="I19" s="84">
        <v>340932</v>
      </c>
    </row>
    <row r="20" spans="4:9" ht="29.25" customHeight="1">
      <c r="D20" s="102"/>
    </row>
    <row r="21" spans="4:9" ht="29.25" customHeight="1">
      <c r="D21" s="102"/>
      <c r="G21" s="84"/>
    </row>
  </sheetData>
  <mergeCells count="10">
    <mergeCell ref="A1:M1"/>
    <mergeCell ref="A3:A4"/>
    <mergeCell ref="C3:C4"/>
    <mergeCell ref="D3:D4"/>
    <mergeCell ref="B3:B4"/>
    <mergeCell ref="M3:M4"/>
    <mergeCell ref="E3:F3"/>
    <mergeCell ref="G3:H3"/>
    <mergeCell ref="I3:J3"/>
    <mergeCell ref="K3:L3"/>
  </mergeCells>
  <phoneticPr fontId="2" type="noConversion"/>
  <pageMargins left="0.67" right="0.35" top="0.56000000000000005" bottom="0.48" header="0.38" footer="0.27"/>
  <pageSetup paperSize="9" scale="75" orientation="landscape" horizontalDpi="300" verticalDpi="300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9"/>
  <sheetViews>
    <sheetView showZeros="0" view="pageBreakPreview" zoomScale="85" zoomScaleNormal="75" zoomScaleSheetLayoutView="85" workbookViewId="0">
      <selection activeCell="D23" sqref="D23"/>
    </sheetView>
  </sheetViews>
  <sheetFormatPr defaultRowHeight="12.75"/>
  <cols>
    <col min="1" max="1" width="10.109375" style="83" customWidth="1"/>
    <col min="2" max="2" width="12.44140625" style="83" customWidth="1"/>
    <col min="3" max="3" width="15.44140625" style="83" customWidth="1"/>
    <col min="4" max="4" width="15.21875" style="84" customWidth="1"/>
    <col min="5" max="5" width="12.109375" style="83" customWidth="1"/>
    <col min="6" max="6" width="13.44140625" style="84" customWidth="1"/>
    <col min="7" max="7" width="12.44140625" style="84" customWidth="1"/>
    <col min="8" max="8" width="13.44140625" style="84" customWidth="1"/>
    <col min="9" max="9" width="12.6640625" style="84" customWidth="1"/>
    <col min="10" max="10" width="13" style="84" customWidth="1"/>
    <col min="11" max="11" width="13.21875" style="84" customWidth="1"/>
    <col min="12" max="16384" width="8.88671875" style="6"/>
  </cols>
  <sheetData>
    <row r="1" spans="1:11" s="3" customFormat="1" ht="42" customHeight="1">
      <c r="A1" s="375" t="s">
        <v>93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</row>
    <row r="2" spans="1:11" s="3" customFormat="1" ht="17.25" customHeight="1">
      <c r="A2" s="65"/>
      <c r="B2" s="65"/>
      <c r="C2" s="65"/>
      <c r="D2" s="66"/>
      <c r="E2" s="65"/>
      <c r="F2" s="65"/>
      <c r="G2" s="65"/>
      <c r="H2" s="65"/>
      <c r="I2" s="65"/>
      <c r="J2" s="65"/>
      <c r="K2" s="67"/>
    </row>
    <row r="3" spans="1:11" s="4" customFormat="1" ht="39.950000000000003" customHeight="1">
      <c r="A3" s="360" t="s">
        <v>75</v>
      </c>
      <c r="B3" s="366" t="s">
        <v>76</v>
      </c>
      <c r="C3" s="376" t="s">
        <v>10</v>
      </c>
      <c r="D3" s="376"/>
      <c r="E3" s="373" t="s">
        <v>11</v>
      </c>
      <c r="F3" s="373"/>
      <c r="G3" s="373" t="s">
        <v>12</v>
      </c>
      <c r="H3" s="373"/>
      <c r="I3" s="374" t="s">
        <v>52</v>
      </c>
      <c r="J3" s="372"/>
      <c r="K3" s="368" t="s">
        <v>13</v>
      </c>
    </row>
    <row r="4" spans="1:11" s="4" customFormat="1" ht="39.950000000000003" customHeight="1" thickBot="1">
      <c r="A4" s="361"/>
      <c r="B4" s="367"/>
      <c r="C4" s="68" t="s">
        <v>77</v>
      </c>
      <c r="D4" s="69" t="s">
        <v>73</v>
      </c>
      <c r="E4" s="68" t="s">
        <v>77</v>
      </c>
      <c r="F4" s="70" t="s">
        <v>73</v>
      </c>
      <c r="G4" s="68" t="s">
        <v>77</v>
      </c>
      <c r="H4" s="70" t="s">
        <v>73</v>
      </c>
      <c r="I4" s="70" t="s">
        <v>77</v>
      </c>
      <c r="J4" s="70" t="s">
        <v>73</v>
      </c>
      <c r="K4" s="369"/>
    </row>
    <row r="5" spans="1:11" s="4" customFormat="1" ht="38.25" customHeight="1" thickTop="1">
      <c r="A5" s="246" t="s">
        <v>78</v>
      </c>
      <c r="B5" s="248" t="s">
        <v>95</v>
      </c>
      <c r="C5" s="249">
        <f>E5+G5+I5</f>
        <v>0</v>
      </c>
      <c r="D5" s="250">
        <f>'단가산출서(물푸레)'!F21</f>
        <v>0</v>
      </c>
      <c r="E5" s="251">
        <f>'단가산출서(물푸레)'!H18</f>
        <v>0</v>
      </c>
      <c r="F5" s="252">
        <f>E5*8.8495</f>
        <v>0</v>
      </c>
      <c r="G5" s="252">
        <f>'단가산출서(물푸레)'!H19</f>
        <v>0</v>
      </c>
      <c r="H5" s="252">
        <f>G5*8.8495</f>
        <v>0</v>
      </c>
      <c r="I5" s="252">
        <f>'단가산출서(물푸레)'!H20</f>
        <v>0</v>
      </c>
      <c r="J5" s="252">
        <f>I5*8.8495</f>
        <v>0</v>
      </c>
      <c r="K5" s="247"/>
    </row>
    <row r="6" spans="1:11" s="4" customFormat="1" ht="38.25" customHeight="1">
      <c r="A6" s="246"/>
      <c r="B6" s="72" t="s">
        <v>96</v>
      </c>
      <c r="C6" s="73">
        <f>E6+G6+I6</f>
        <v>0</v>
      </c>
      <c r="D6" s="74">
        <f>'단가산출서(자작)'!F21</f>
        <v>0</v>
      </c>
      <c r="E6" s="75">
        <f>'단가산출서(자작)'!H18</f>
        <v>0</v>
      </c>
      <c r="F6" s="76">
        <f>E6*13.8888</f>
        <v>0</v>
      </c>
      <c r="G6" s="76">
        <f>'단가산출서(자작)'!H19</f>
        <v>0</v>
      </c>
      <c r="H6" s="76">
        <f>G6*13.8888</f>
        <v>0</v>
      </c>
      <c r="I6" s="76">
        <f>'단가산출서(자작)'!H20</f>
        <v>0</v>
      </c>
      <c r="J6" s="76">
        <f>I6*13.8888</f>
        <v>0</v>
      </c>
      <c r="K6" s="247"/>
    </row>
    <row r="7" spans="1:11" s="4" customFormat="1" ht="38.25" customHeight="1">
      <c r="A7" s="246"/>
      <c r="B7" s="72" t="s">
        <v>80</v>
      </c>
      <c r="C7" s="73">
        <f>E7+G7+I7</f>
        <v>0</v>
      </c>
      <c r="D7" s="74">
        <f>'단가산출서(백합)'!F21</f>
        <v>0</v>
      </c>
      <c r="E7" s="75">
        <f>'단가산출서(백합)'!H18</f>
        <v>0</v>
      </c>
      <c r="F7" s="76">
        <f>E7*22.22</f>
        <v>0</v>
      </c>
      <c r="G7" s="76">
        <f>'단가산출서(백합)'!H19</f>
        <v>0</v>
      </c>
      <c r="H7" s="76">
        <f>G7*22.22</f>
        <v>0</v>
      </c>
      <c r="I7" s="76">
        <f>'단가산출서(백합)'!H20</f>
        <v>0</v>
      </c>
      <c r="J7" s="76">
        <f>I7*22.22</f>
        <v>0</v>
      </c>
      <c r="K7" s="247"/>
    </row>
    <row r="8" spans="1:11" s="4" customFormat="1" ht="38.25" customHeight="1">
      <c r="A8" s="246"/>
      <c r="B8" s="243" t="s">
        <v>173</v>
      </c>
      <c r="C8" s="73">
        <f>E8+G8+I8</f>
        <v>0</v>
      </c>
      <c r="D8" s="74">
        <f>'단가산출서(상수리,루브라)'!F21</f>
        <v>0</v>
      </c>
      <c r="E8" s="75">
        <f>'단가산출서(상수리,루브라)'!H18</f>
        <v>0</v>
      </c>
      <c r="F8" s="76">
        <f>E8*1.6694</f>
        <v>0</v>
      </c>
      <c r="G8" s="76">
        <f>'단가산출서(상수리,루브라)'!H19</f>
        <v>0</v>
      </c>
      <c r="H8" s="76">
        <f>G8*1.6694</f>
        <v>0</v>
      </c>
      <c r="I8" s="76">
        <f>'단가산출서(상수리,루브라)'!H20</f>
        <v>0</v>
      </c>
      <c r="J8" s="76">
        <f>I8*1.6694</f>
        <v>0</v>
      </c>
      <c r="K8" s="247"/>
    </row>
    <row r="9" spans="1:11" s="4" customFormat="1" ht="38.25" customHeight="1">
      <c r="A9" s="244"/>
      <c r="B9" s="77" t="s">
        <v>229</v>
      </c>
      <c r="C9" s="78">
        <f>E9+G9+I9</f>
        <v>0</v>
      </c>
      <c r="D9" s="79">
        <f>'단가산출서(쉬나무)'!F21</f>
        <v>0</v>
      </c>
      <c r="E9" s="80">
        <f>'단가산출서(쉬나무)'!H18</f>
        <v>0</v>
      </c>
      <c r="F9" s="81">
        <f>E9*2.1413</f>
        <v>0</v>
      </c>
      <c r="G9" s="81">
        <f>'단가산출서(쉬나무)'!H19</f>
        <v>0</v>
      </c>
      <c r="H9" s="81">
        <f>G9*2.1413</f>
        <v>0</v>
      </c>
      <c r="I9" s="81">
        <f>'단가산출서(쉬나무)'!H20</f>
        <v>0</v>
      </c>
      <c r="J9" s="81">
        <f>I9*2.1413</f>
        <v>0</v>
      </c>
      <c r="K9" s="245"/>
    </row>
    <row r="10" spans="1:11" ht="38.25" customHeight="1">
      <c r="A10" s="82"/>
      <c r="B10" s="82" t="s">
        <v>181</v>
      </c>
    </row>
    <row r="11" spans="1:11" ht="21" hidden="1" customHeight="1">
      <c r="F11" s="84">
        <v>1089782</v>
      </c>
      <c r="G11" s="84">
        <v>392071</v>
      </c>
    </row>
    <row r="12" spans="1:11" ht="21" hidden="1" customHeight="1">
      <c r="F12" s="84">
        <v>1050861</v>
      </c>
      <c r="G12" s="84">
        <v>500033</v>
      </c>
    </row>
    <row r="13" spans="1:11" ht="21" hidden="1" customHeight="1">
      <c r="F13" s="84">
        <v>934099</v>
      </c>
      <c r="G13" s="84">
        <v>375025</v>
      </c>
    </row>
    <row r="14" spans="1:11" ht="21" hidden="1" customHeight="1">
      <c r="F14" s="84">
        <v>973020</v>
      </c>
      <c r="G14" s="84">
        <v>113644</v>
      </c>
    </row>
    <row r="15" spans="1:11" ht="21" hidden="1" customHeight="1">
      <c r="F15" s="84">
        <v>583812</v>
      </c>
      <c r="G15" s="84">
        <v>340932</v>
      </c>
    </row>
    <row r="16" spans="1:11" ht="21" hidden="1" customHeight="1">
      <c r="F16" s="84">
        <v>583812</v>
      </c>
      <c r="G16" s="84">
        <v>340932</v>
      </c>
    </row>
    <row r="17" spans="5:7" ht="29.25" hidden="1" customHeight="1">
      <c r="F17" s="84">
        <v>583812</v>
      </c>
      <c r="G17" s="84">
        <v>340932</v>
      </c>
    </row>
    <row r="18" spans="5:7" ht="29.25" customHeight="1"/>
    <row r="19" spans="5:7" ht="29.25" customHeight="1">
      <c r="E19" s="84"/>
    </row>
  </sheetData>
  <mergeCells count="8">
    <mergeCell ref="A1:K1"/>
    <mergeCell ref="G3:H3"/>
    <mergeCell ref="I3:J3"/>
    <mergeCell ref="K3:K4"/>
    <mergeCell ref="A3:A4"/>
    <mergeCell ref="B3:B4"/>
    <mergeCell ref="C3:D3"/>
    <mergeCell ref="E3:F3"/>
  </mergeCells>
  <phoneticPr fontId="2" type="noConversion"/>
  <pageMargins left="0.67" right="0.35" top="0.56000000000000005" bottom="0.48" header="0.38" footer="0.27"/>
  <pageSetup paperSize="9" scale="75" orientation="landscape" horizontalDpi="300" verticalDpi="300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22"/>
  <sheetViews>
    <sheetView view="pageBreakPreview" zoomScale="85" zoomScaleNormal="85" zoomScaleSheetLayoutView="85" workbookViewId="0">
      <pane ySplit="5" topLeftCell="A6" activePane="bottomLeft" state="frozen"/>
      <selection activeCell="E7" sqref="E7:F16"/>
      <selection pane="bottomLeft" activeCell="G13" sqref="G13:H14"/>
    </sheetView>
  </sheetViews>
  <sheetFormatPr defaultRowHeight="15"/>
  <cols>
    <col min="1" max="1" width="9.77734375" style="30" customWidth="1"/>
    <col min="2" max="2" width="6.109375" style="30" customWidth="1"/>
    <col min="3" max="3" width="10.21875" style="30" customWidth="1"/>
    <col min="4" max="4" width="6.5546875" style="30" customWidth="1"/>
    <col min="5" max="5" width="12" style="30" bestFit="1" customWidth="1"/>
    <col min="6" max="6" width="15.5546875" style="30" bestFit="1" customWidth="1"/>
    <col min="7" max="7" width="15.77734375" style="30" customWidth="1"/>
    <col min="8" max="8" width="17.77734375" style="30" customWidth="1"/>
    <col min="9" max="9" width="22.109375" style="9" customWidth="1"/>
    <col min="10" max="10" width="17.88671875" style="9" bestFit="1" customWidth="1"/>
    <col min="11" max="11" width="2.6640625" style="9" customWidth="1"/>
    <col min="12" max="12" width="21.88671875" style="9" bestFit="1" customWidth="1"/>
    <col min="13" max="13" width="4.21875" style="9" customWidth="1"/>
    <col min="14" max="14" width="11.77734375" style="9" customWidth="1"/>
    <col min="15" max="15" width="29.109375" style="9" customWidth="1"/>
    <col min="16" max="17" width="8.88671875" style="9"/>
    <col min="18" max="16384" width="8.88671875" style="7"/>
  </cols>
  <sheetData>
    <row r="1" spans="1:17" ht="14.25" customHeight="1">
      <c r="A1" s="433" t="s">
        <v>112</v>
      </c>
      <c r="B1" s="433"/>
      <c r="C1" s="433"/>
      <c r="D1" s="433"/>
      <c r="E1" s="433"/>
      <c r="F1" s="433"/>
      <c r="G1" s="433"/>
      <c r="H1" s="433"/>
    </row>
    <row r="2" spans="1:17" ht="14.25" customHeight="1">
      <c r="A2" s="433"/>
      <c r="B2" s="433"/>
      <c r="C2" s="433"/>
      <c r="D2" s="433"/>
      <c r="E2" s="433"/>
      <c r="F2" s="433"/>
      <c r="G2" s="433"/>
      <c r="H2" s="433"/>
    </row>
    <row r="3" spans="1:17" ht="28.5" customHeight="1">
      <c r="A3" s="434" t="s">
        <v>97</v>
      </c>
      <c r="B3" s="434"/>
      <c r="C3" s="434"/>
    </row>
    <row r="4" spans="1:17" ht="23.25" customHeight="1">
      <c r="H4" s="31" t="s">
        <v>40</v>
      </c>
    </row>
    <row r="5" spans="1:17" ht="39.75" customHeight="1">
      <c r="A5" s="32" t="s">
        <v>41</v>
      </c>
      <c r="B5" s="33" t="s">
        <v>42</v>
      </c>
      <c r="C5" s="34" t="s">
        <v>43</v>
      </c>
      <c r="D5" s="33" t="s">
        <v>25</v>
      </c>
      <c r="E5" s="35" t="s">
        <v>44</v>
      </c>
      <c r="F5" s="36" t="s">
        <v>45</v>
      </c>
      <c r="G5" s="435" t="s">
        <v>46</v>
      </c>
      <c r="H5" s="436"/>
    </row>
    <row r="6" spans="1:17" ht="39.75" customHeight="1">
      <c r="A6" s="37" t="s">
        <v>47</v>
      </c>
      <c r="B6" s="38"/>
      <c r="C6" s="39">
        <f>J6</f>
        <v>100</v>
      </c>
      <c r="D6" s="40" t="s">
        <v>105</v>
      </c>
      <c r="E6" s="39"/>
      <c r="F6" s="41"/>
      <c r="G6" s="437" t="s">
        <v>101</v>
      </c>
      <c r="H6" s="438"/>
      <c r="J6" s="13">
        <f>100/1</f>
        <v>100</v>
      </c>
    </row>
    <row r="7" spans="1:17" ht="39.75" customHeight="1">
      <c r="A7" s="42" t="s">
        <v>49</v>
      </c>
      <c r="B7" s="43" t="s">
        <v>50</v>
      </c>
      <c r="C7" s="44">
        <f>J7</f>
        <v>5</v>
      </c>
      <c r="D7" s="45" t="s">
        <v>51</v>
      </c>
      <c r="E7" s="233"/>
      <c r="F7" s="46"/>
      <c r="G7" s="439" t="s">
        <v>102</v>
      </c>
      <c r="H7" s="440"/>
      <c r="J7" s="10">
        <f>C6/20</f>
        <v>5</v>
      </c>
    </row>
    <row r="8" spans="1:17" ht="39.75" customHeight="1">
      <c r="A8" s="394" t="s">
        <v>52</v>
      </c>
      <c r="B8" s="427" t="s">
        <v>53</v>
      </c>
      <c r="C8" s="429">
        <f>J8</f>
        <v>1.4705882352941176E-2</v>
      </c>
      <c r="D8" s="402" t="s">
        <v>54</v>
      </c>
      <c r="E8" s="431"/>
      <c r="F8" s="419"/>
      <c r="G8" s="421" t="s">
        <v>55</v>
      </c>
      <c r="H8" s="422"/>
      <c r="J8" s="10">
        <f>C6/6800</f>
        <v>1.4705882352941176E-2</v>
      </c>
      <c r="O8" s="11"/>
      <c r="P8" s="11"/>
      <c r="Q8" s="11"/>
    </row>
    <row r="9" spans="1:17" ht="39.75" customHeight="1">
      <c r="A9" s="426"/>
      <c r="B9" s="428"/>
      <c r="C9" s="430"/>
      <c r="D9" s="428"/>
      <c r="E9" s="432"/>
      <c r="F9" s="420"/>
      <c r="G9" s="423" t="s">
        <v>103</v>
      </c>
      <c r="H9" s="424"/>
      <c r="J9" s="10"/>
      <c r="O9" s="11"/>
      <c r="P9" s="11"/>
      <c r="Q9" s="11"/>
    </row>
    <row r="10" spans="1:17" ht="39.75" customHeight="1">
      <c r="A10" s="51" t="s">
        <v>56</v>
      </c>
      <c r="B10" s="52" t="s">
        <v>104</v>
      </c>
      <c r="C10" s="53">
        <f>J10</f>
        <v>0.25</v>
      </c>
      <c r="D10" s="54" t="s">
        <v>51</v>
      </c>
      <c r="E10" s="55"/>
      <c r="F10" s="56"/>
      <c r="G10" s="389" t="s">
        <v>67</v>
      </c>
      <c r="H10" s="390"/>
      <c r="J10" s="10">
        <f>C6/400</f>
        <v>0.25</v>
      </c>
    </row>
    <row r="11" spans="1:17" ht="39.75" customHeight="1">
      <c r="A11" s="394" t="s">
        <v>57</v>
      </c>
      <c r="B11" s="427" t="s">
        <v>104</v>
      </c>
      <c r="C11" s="429">
        <f>J12</f>
        <v>0.5</v>
      </c>
      <c r="D11" s="402" t="s">
        <v>51</v>
      </c>
      <c r="E11" s="431"/>
      <c r="F11" s="419"/>
      <c r="G11" s="425" t="s">
        <v>70</v>
      </c>
      <c r="H11" s="384"/>
    </row>
    <row r="12" spans="1:17" ht="39.75" customHeight="1">
      <c r="A12" s="426"/>
      <c r="B12" s="428"/>
      <c r="C12" s="430"/>
      <c r="D12" s="428"/>
      <c r="E12" s="432"/>
      <c r="F12" s="420"/>
      <c r="G12" s="385"/>
      <c r="H12" s="386"/>
      <c r="J12" s="13">
        <f>C6/200</f>
        <v>0.5</v>
      </c>
    </row>
    <row r="13" spans="1:17" ht="39.75" customHeight="1">
      <c r="A13" s="305" t="s">
        <v>58</v>
      </c>
      <c r="B13" s="411" t="s">
        <v>50</v>
      </c>
      <c r="C13" s="413">
        <f>J14</f>
        <v>7.1428571428571425E-2</v>
      </c>
      <c r="D13" s="403" t="s">
        <v>51</v>
      </c>
      <c r="E13" s="415"/>
      <c r="F13" s="417"/>
      <c r="G13" s="383" t="s">
        <v>106</v>
      </c>
      <c r="H13" s="384"/>
    </row>
    <row r="14" spans="1:17" ht="39.75" customHeight="1">
      <c r="A14" s="410"/>
      <c r="B14" s="412"/>
      <c r="C14" s="414"/>
      <c r="D14" s="412"/>
      <c r="E14" s="416"/>
      <c r="F14" s="418"/>
      <c r="G14" s="385"/>
      <c r="H14" s="386"/>
      <c r="J14" s="9">
        <f>100/20/70</f>
        <v>7.1428571428571425E-2</v>
      </c>
    </row>
    <row r="15" spans="1:17" ht="39.75" customHeight="1">
      <c r="A15" s="387" t="s">
        <v>59</v>
      </c>
      <c r="B15" s="47" t="s">
        <v>60</v>
      </c>
      <c r="C15" s="48">
        <v>1.42</v>
      </c>
      <c r="D15" s="49" t="s">
        <v>61</v>
      </c>
      <c r="E15" s="57"/>
      <c r="F15" s="50"/>
      <c r="G15" s="389" t="s">
        <v>107</v>
      </c>
      <c r="H15" s="390"/>
      <c r="J15" s="12"/>
    </row>
    <row r="16" spans="1:17" ht="39.75" customHeight="1">
      <c r="A16" s="388"/>
      <c r="B16" s="47" t="s">
        <v>62</v>
      </c>
      <c r="C16" s="48">
        <v>14.2</v>
      </c>
      <c r="D16" s="49" t="s">
        <v>63</v>
      </c>
      <c r="E16" s="57"/>
      <c r="F16" s="50"/>
      <c r="G16" s="389" t="s">
        <v>178</v>
      </c>
      <c r="H16" s="390"/>
    </row>
    <row r="17" spans="1:17" s="8" customFormat="1" ht="39.75" customHeight="1">
      <c r="A17" s="391" t="s">
        <v>64</v>
      </c>
      <c r="B17" s="392"/>
      <c r="C17" s="393"/>
      <c r="D17" s="45"/>
      <c r="E17" s="58"/>
      <c r="F17" s="46">
        <f>SUM(F7:F16)</f>
        <v>0</v>
      </c>
      <c r="G17" s="408"/>
      <c r="H17" s="409"/>
      <c r="I17" s="9"/>
      <c r="J17" s="9"/>
      <c r="K17" s="9"/>
      <c r="L17" s="9"/>
      <c r="M17" s="9"/>
      <c r="N17" s="9"/>
      <c r="O17" s="9"/>
      <c r="P17" s="9"/>
      <c r="Q17" s="9"/>
    </row>
    <row r="18" spans="1:17" s="8" customFormat="1" ht="39.75" customHeight="1">
      <c r="A18" s="394" t="s">
        <v>65</v>
      </c>
      <c r="B18" s="395"/>
      <c r="C18" s="396"/>
      <c r="D18" s="402"/>
      <c r="E18" s="405"/>
      <c r="F18" s="405">
        <f>ROUND(F17/100,0)</f>
        <v>0</v>
      </c>
      <c r="G18" s="59" t="s">
        <v>68</v>
      </c>
      <c r="H18" s="60">
        <f>(F7+F10+F11+F13)*0.01</f>
        <v>0</v>
      </c>
      <c r="I18" s="9"/>
      <c r="J18" s="9"/>
      <c r="K18" s="9"/>
      <c r="L18" s="9"/>
      <c r="M18" s="9"/>
      <c r="N18" s="9"/>
      <c r="O18" s="9"/>
      <c r="P18" s="9"/>
      <c r="Q18" s="9"/>
    </row>
    <row r="19" spans="1:17" s="8" customFormat="1" ht="39.75" customHeight="1">
      <c r="A19" s="305"/>
      <c r="B19" s="397"/>
      <c r="C19" s="398"/>
      <c r="D19" s="403"/>
      <c r="E19" s="406"/>
      <c r="F19" s="406"/>
      <c r="G19" s="59" t="s">
        <v>69</v>
      </c>
      <c r="H19" s="60">
        <f>(F15+F16)*0.01</f>
        <v>0</v>
      </c>
      <c r="I19" s="9"/>
      <c r="J19" s="9"/>
      <c r="K19" s="9"/>
      <c r="L19" s="9"/>
      <c r="M19" s="9"/>
      <c r="N19" s="9"/>
      <c r="O19" s="9"/>
      <c r="P19" s="9"/>
      <c r="Q19" s="9"/>
    </row>
    <row r="20" spans="1:17" s="8" customFormat="1" ht="39.75" customHeight="1">
      <c r="A20" s="399"/>
      <c r="B20" s="400"/>
      <c r="C20" s="401"/>
      <c r="D20" s="404"/>
      <c r="E20" s="407"/>
      <c r="F20" s="407"/>
      <c r="G20" s="59" t="s">
        <v>52</v>
      </c>
      <c r="H20" s="60">
        <f>F8*0.01</f>
        <v>0</v>
      </c>
      <c r="I20" s="9"/>
      <c r="J20" s="9"/>
      <c r="K20" s="9"/>
      <c r="L20" s="9"/>
      <c r="M20" s="9"/>
      <c r="N20" s="9"/>
      <c r="O20" s="9"/>
      <c r="P20" s="9"/>
      <c r="Q20" s="9"/>
    </row>
    <row r="21" spans="1:17" s="8" customFormat="1" ht="39.75" customHeight="1">
      <c r="A21" s="380" t="s">
        <v>66</v>
      </c>
      <c r="B21" s="381"/>
      <c r="C21" s="382"/>
      <c r="D21" s="62"/>
      <c r="E21" s="63"/>
      <c r="F21" s="64">
        <f>F18*8.8495</f>
        <v>0</v>
      </c>
      <c r="G21" s="378" t="s">
        <v>98</v>
      </c>
      <c r="H21" s="379"/>
      <c r="I21" s="10">
        <v>23.2</v>
      </c>
      <c r="J21" s="9" t="e">
        <f>#REF!</f>
        <v>#REF!</v>
      </c>
      <c r="K21" s="9"/>
      <c r="L21" s="9"/>
      <c r="M21" s="9"/>
      <c r="N21" s="9"/>
      <c r="O21" s="9"/>
      <c r="P21" s="9"/>
      <c r="Q21" s="9"/>
    </row>
    <row r="22" spans="1:17" ht="38.25" customHeight="1">
      <c r="A22" s="377" t="str">
        <f>'단가산출서(상수리,루브라)'!A22:H22</f>
        <v>※ 단가산출시 「2025년산 산림용 종묘가격(산림청고시 제2025-95호, 2025.12.24)」의 채취공정 이용. 
    인부임 단가는 「경기도 기간제근로자등 보수지침」 보통인부 단가 적용.</v>
      </c>
      <c r="B22" s="377"/>
      <c r="C22" s="377"/>
      <c r="D22" s="377"/>
      <c r="E22" s="377"/>
      <c r="F22" s="377"/>
      <c r="G22" s="377"/>
      <c r="H22" s="377"/>
    </row>
  </sheetData>
  <mergeCells count="40">
    <mergeCell ref="A1:H2"/>
    <mergeCell ref="A3:C3"/>
    <mergeCell ref="G5:H5"/>
    <mergeCell ref="G6:H6"/>
    <mergeCell ref="G7:H7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D13:D14"/>
    <mergeCell ref="E13:E14"/>
    <mergeCell ref="F13:F14"/>
    <mergeCell ref="F8:F9"/>
    <mergeCell ref="G8:H8"/>
    <mergeCell ref="G9:H9"/>
    <mergeCell ref="G10:H10"/>
    <mergeCell ref="F11:F12"/>
    <mergeCell ref="G11:H12"/>
    <mergeCell ref="A22:H22"/>
    <mergeCell ref="G21:H21"/>
    <mergeCell ref="A21:C21"/>
    <mergeCell ref="G13:H14"/>
    <mergeCell ref="A15:A16"/>
    <mergeCell ref="G15:H15"/>
    <mergeCell ref="G16:H16"/>
    <mergeCell ref="A17:C17"/>
    <mergeCell ref="A18:C20"/>
    <mergeCell ref="D18:D20"/>
    <mergeCell ref="E18:E20"/>
    <mergeCell ref="F18:F20"/>
    <mergeCell ref="G17:H17"/>
    <mergeCell ref="A13:A14"/>
    <mergeCell ref="B13:B14"/>
    <mergeCell ref="C13:C14"/>
  </mergeCells>
  <phoneticPr fontId="2" type="noConversion"/>
  <printOptions horizontalCentered="1"/>
  <pageMargins left="0.35433070866141736" right="0.31496062992125984" top="0.73" bottom="0.76" header="0.51181102362204722" footer="0.51181102362204722"/>
  <pageSetup paperSize="9" scale="8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22"/>
  <sheetViews>
    <sheetView view="pageBreakPreview" zoomScale="85" zoomScaleNormal="85" zoomScaleSheetLayoutView="85" workbookViewId="0">
      <pane ySplit="5" topLeftCell="A6" activePane="bottomLeft" state="frozen"/>
      <selection activeCell="E7" sqref="E7:F16"/>
      <selection pane="bottomLeft" activeCell="E7" sqref="E7:F16"/>
    </sheetView>
  </sheetViews>
  <sheetFormatPr defaultRowHeight="15"/>
  <cols>
    <col min="1" max="1" width="9.77734375" style="30" customWidth="1"/>
    <col min="2" max="2" width="6.109375" style="30" customWidth="1"/>
    <col min="3" max="3" width="10.21875" style="30" customWidth="1"/>
    <col min="4" max="4" width="6.5546875" style="30" customWidth="1"/>
    <col min="5" max="5" width="12" style="30" bestFit="1" customWidth="1"/>
    <col min="6" max="6" width="15.5546875" style="30" bestFit="1" customWidth="1"/>
    <col min="7" max="7" width="15.77734375" style="30" customWidth="1"/>
    <col min="8" max="8" width="17.77734375" style="30" customWidth="1"/>
    <col min="9" max="9" width="22.109375" style="9" customWidth="1"/>
    <col min="10" max="10" width="17.88671875" style="9" bestFit="1" customWidth="1"/>
    <col min="11" max="11" width="2.6640625" style="9" customWidth="1"/>
    <col min="12" max="12" width="21.88671875" style="9" bestFit="1" customWidth="1"/>
    <col min="13" max="13" width="4.21875" style="9" customWidth="1"/>
    <col min="14" max="14" width="11.77734375" style="9" customWidth="1"/>
    <col min="15" max="15" width="29.109375" style="9" customWidth="1"/>
    <col min="16" max="17" width="8.88671875" style="9"/>
    <col min="18" max="16384" width="8.88671875" style="7"/>
  </cols>
  <sheetData>
    <row r="1" spans="1:17" ht="14.25" customHeight="1">
      <c r="A1" s="433" t="s">
        <v>112</v>
      </c>
      <c r="B1" s="433"/>
      <c r="C1" s="433"/>
      <c r="D1" s="433"/>
      <c r="E1" s="433"/>
      <c r="F1" s="433"/>
      <c r="G1" s="433"/>
      <c r="H1" s="433"/>
    </row>
    <row r="2" spans="1:17" ht="14.25" customHeight="1">
      <c r="A2" s="433"/>
      <c r="B2" s="433"/>
      <c r="C2" s="433"/>
      <c r="D2" s="433"/>
      <c r="E2" s="433"/>
      <c r="F2" s="433"/>
      <c r="G2" s="433"/>
      <c r="H2" s="433"/>
    </row>
    <row r="3" spans="1:17" ht="28.5" customHeight="1">
      <c r="A3" s="434" t="s">
        <v>110</v>
      </c>
      <c r="B3" s="434"/>
      <c r="C3" s="434"/>
    </row>
    <row r="4" spans="1:17" ht="23.25" customHeight="1">
      <c r="H4" s="31" t="s">
        <v>40</v>
      </c>
    </row>
    <row r="5" spans="1:17" ht="39.75" customHeight="1">
      <c r="A5" s="32" t="s">
        <v>41</v>
      </c>
      <c r="B5" s="33" t="s">
        <v>42</v>
      </c>
      <c r="C5" s="34" t="s">
        <v>43</v>
      </c>
      <c r="D5" s="33" t="s">
        <v>25</v>
      </c>
      <c r="E5" s="35" t="s">
        <v>44</v>
      </c>
      <c r="F5" s="36" t="s">
        <v>45</v>
      </c>
      <c r="G5" s="435" t="s">
        <v>46</v>
      </c>
      <c r="H5" s="436"/>
    </row>
    <row r="6" spans="1:17" ht="39.75" customHeight="1">
      <c r="A6" s="37" t="s">
        <v>47</v>
      </c>
      <c r="B6" s="38"/>
      <c r="C6" s="39">
        <f>J6</f>
        <v>303.030303030303</v>
      </c>
      <c r="D6" s="40" t="s">
        <v>48</v>
      </c>
      <c r="E6" s="39"/>
      <c r="F6" s="41"/>
      <c r="G6" s="437" t="s">
        <v>108</v>
      </c>
      <c r="H6" s="438"/>
      <c r="J6" s="13">
        <f>100/0.33</f>
        <v>303.030303030303</v>
      </c>
    </row>
    <row r="7" spans="1:17" ht="39.75" customHeight="1">
      <c r="A7" s="42" t="s">
        <v>49</v>
      </c>
      <c r="B7" s="43" t="s">
        <v>50</v>
      </c>
      <c r="C7" s="44">
        <f>J7</f>
        <v>12.121212121212119</v>
      </c>
      <c r="D7" s="45" t="s">
        <v>51</v>
      </c>
      <c r="E7" s="233"/>
      <c r="F7" s="46"/>
      <c r="G7" s="389" t="s">
        <v>180</v>
      </c>
      <c r="H7" s="390"/>
      <c r="J7" s="10">
        <f>C6/25</f>
        <v>12.121212121212119</v>
      </c>
    </row>
    <row r="8" spans="1:17" ht="39.75" customHeight="1">
      <c r="A8" s="394" t="s">
        <v>52</v>
      </c>
      <c r="B8" s="427" t="s">
        <v>53</v>
      </c>
      <c r="C8" s="429">
        <f>J8</f>
        <v>4.4563279857397498E-2</v>
      </c>
      <c r="D8" s="402" t="s">
        <v>54</v>
      </c>
      <c r="E8" s="431"/>
      <c r="F8" s="419"/>
      <c r="G8" s="421" t="s">
        <v>55</v>
      </c>
      <c r="H8" s="422"/>
      <c r="J8" s="10">
        <f>C6/6800</f>
        <v>4.4563279857397498E-2</v>
      </c>
      <c r="O8" s="11"/>
      <c r="P8" s="11"/>
      <c r="Q8" s="11"/>
    </row>
    <row r="9" spans="1:17" ht="39.75" customHeight="1">
      <c r="A9" s="426"/>
      <c r="B9" s="428"/>
      <c r="C9" s="430"/>
      <c r="D9" s="428"/>
      <c r="E9" s="432"/>
      <c r="F9" s="420"/>
      <c r="G9" s="423" t="s">
        <v>103</v>
      </c>
      <c r="H9" s="424"/>
      <c r="J9" s="10"/>
      <c r="O9" s="11"/>
      <c r="P9" s="11"/>
      <c r="Q9" s="11"/>
    </row>
    <row r="10" spans="1:17" ht="39.75" customHeight="1">
      <c r="A10" s="51" t="s">
        <v>56</v>
      </c>
      <c r="B10" s="52" t="s">
        <v>104</v>
      </c>
      <c r="C10" s="53">
        <f>J10</f>
        <v>0.75757575757575746</v>
      </c>
      <c r="D10" s="54" t="s">
        <v>51</v>
      </c>
      <c r="E10" s="55"/>
      <c r="F10" s="56"/>
      <c r="G10" s="389" t="s">
        <v>109</v>
      </c>
      <c r="H10" s="390"/>
      <c r="J10" s="10">
        <f>C6/400</f>
        <v>0.75757575757575746</v>
      </c>
    </row>
    <row r="11" spans="1:17" ht="39.75" customHeight="1">
      <c r="A11" s="394" t="s">
        <v>57</v>
      </c>
      <c r="B11" s="427" t="s">
        <v>104</v>
      </c>
      <c r="C11" s="429">
        <v>0.5</v>
      </c>
      <c r="D11" s="402" t="s">
        <v>51</v>
      </c>
      <c r="E11" s="431"/>
      <c r="F11" s="419"/>
      <c r="G11" s="425" t="s">
        <v>70</v>
      </c>
      <c r="H11" s="384"/>
    </row>
    <row r="12" spans="1:17" ht="39.75" customHeight="1">
      <c r="A12" s="426"/>
      <c r="B12" s="428"/>
      <c r="C12" s="430"/>
      <c r="D12" s="428"/>
      <c r="E12" s="432"/>
      <c r="F12" s="420"/>
      <c r="G12" s="385"/>
      <c r="H12" s="386"/>
      <c r="J12" s="13">
        <f>C6/200</f>
        <v>1.5151515151515149</v>
      </c>
    </row>
    <row r="13" spans="1:17" ht="39.75" customHeight="1">
      <c r="A13" s="305" t="s">
        <v>58</v>
      </c>
      <c r="B13" s="411" t="s">
        <v>50</v>
      </c>
      <c r="C13" s="413">
        <f>J14</f>
        <v>7.1428571428571425E-2</v>
      </c>
      <c r="D13" s="403" t="s">
        <v>51</v>
      </c>
      <c r="E13" s="415"/>
      <c r="F13" s="417"/>
      <c r="G13" s="425" t="s">
        <v>71</v>
      </c>
      <c r="H13" s="384"/>
    </row>
    <row r="14" spans="1:17" ht="39.75" customHeight="1">
      <c r="A14" s="410"/>
      <c r="B14" s="412"/>
      <c r="C14" s="414"/>
      <c r="D14" s="412"/>
      <c r="E14" s="416"/>
      <c r="F14" s="418"/>
      <c r="G14" s="385"/>
      <c r="H14" s="386"/>
      <c r="J14" s="9">
        <f>100/20/70</f>
        <v>7.1428571428571425E-2</v>
      </c>
    </row>
    <row r="15" spans="1:17" ht="39.75" customHeight="1">
      <c r="A15" s="387" t="s">
        <v>59</v>
      </c>
      <c r="B15" s="47" t="s">
        <v>60</v>
      </c>
      <c r="C15" s="48">
        <v>1.42</v>
      </c>
      <c r="D15" s="49" t="s">
        <v>61</v>
      </c>
      <c r="E15" s="57"/>
      <c r="F15" s="50"/>
      <c r="G15" s="389" t="s">
        <v>107</v>
      </c>
      <c r="H15" s="390"/>
      <c r="J15" s="12"/>
    </row>
    <row r="16" spans="1:17" ht="39.75" customHeight="1">
      <c r="A16" s="388"/>
      <c r="B16" s="47" t="s">
        <v>62</v>
      </c>
      <c r="C16" s="48">
        <v>14.2</v>
      </c>
      <c r="D16" s="49" t="s">
        <v>63</v>
      </c>
      <c r="E16" s="57"/>
      <c r="F16" s="50"/>
      <c r="G16" s="389" t="s">
        <v>178</v>
      </c>
      <c r="H16" s="390"/>
    </row>
    <row r="17" spans="1:17" s="8" customFormat="1" ht="39.75" customHeight="1">
      <c r="A17" s="391" t="s">
        <v>64</v>
      </c>
      <c r="B17" s="392"/>
      <c r="C17" s="393"/>
      <c r="D17" s="45"/>
      <c r="E17" s="58"/>
      <c r="F17" s="46">
        <f>SUM(F7:F16)</f>
        <v>0</v>
      </c>
      <c r="G17" s="408"/>
      <c r="H17" s="409"/>
      <c r="I17" s="9"/>
      <c r="J17" s="9"/>
      <c r="K17" s="9"/>
      <c r="L17" s="9"/>
      <c r="M17" s="9"/>
      <c r="N17" s="9"/>
      <c r="O17" s="9"/>
      <c r="P17" s="9"/>
      <c r="Q17" s="9"/>
    </row>
    <row r="18" spans="1:17" s="8" customFormat="1" ht="39.75" customHeight="1">
      <c r="A18" s="394" t="s">
        <v>65</v>
      </c>
      <c r="B18" s="395"/>
      <c r="C18" s="396"/>
      <c r="D18" s="402"/>
      <c r="E18" s="405"/>
      <c r="F18" s="405">
        <f>ROUND(F17/100,0)</f>
        <v>0</v>
      </c>
      <c r="G18" s="59" t="s">
        <v>68</v>
      </c>
      <c r="H18" s="60">
        <f>(F7+F10+F11+F13)*0.01</f>
        <v>0</v>
      </c>
      <c r="I18" s="9"/>
      <c r="J18" s="9"/>
      <c r="K18" s="9"/>
      <c r="L18" s="9"/>
      <c r="M18" s="9"/>
      <c r="N18" s="9"/>
      <c r="O18" s="9"/>
      <c r="P18" s="9"/>
      <c r="Q18" s="9"/>
    </row>
    <row r="19" spans="1:17" s="8" customFormat="1" ht="39.75" customHeight="1">
      <c r="A19" s="305"/>
      <c r="B19" s="397"/>
      <c r="C19" s="398"/>
      <c r="D19" s="403"/>
      <c r="E19" s="406"/>
      <c r="F19" s="406"/>
      <c r="G19" s="59" t="s">
        <v>69</v>
      </c>
      <c r="H19" s="60">
        <f>(F15+F16)*0.01</f>
        <v>0</v>
      </c>
      <c r="I19" s="9"/>
      <c r="J19" s="9"/>
      <c r="K19" s="9"/>
      <c r="L19" s="9"/>
      <c r="M19" s="9"/>
      <c r="N19" s="9"/>
      <c r="O19" s="9"/>
      <c r="P19" s="9"/>
      <c r="Q19" s="9"/>
    </row>
    <row r="20" spans="1:17" s="8" customFormat="1" ht="39.75" customHeight="1">
      <c r="A20" s="399"/>
      <c r="B20" s="400"/>
      <c r="C20" s="401"/>
      <c r="D20" s="404"/>
      <c r="E20" s="407"/>
      <c r="F20" s="407"/>
      <c r="G20" s="59" t="s">
        <v>52</v>
      </c>
      <c r="H20" s="60">
        <f>F8*0.01</f>
        <v>0</v>
      </c>
      <c r="I20" s="9"/>
      <c r="J20" s="9"/>
      <c r="K20" s="9"/>
      <c r="L20" s="9"/>
      <c r="M20" s="9"/>
      <c r="N20" s="9"/>
      <c r="O20" s="9"/>
      <c r="P20" s="9"/>
      <c r="Q20" s="9"/>
    </row>
    <row r="21" spans="1:17" s="8" customFormat="1" ht="39.75" customHeight="1">
      <c r="A21" s="380" t="s">
        <v>66</v>
      </c>
      <c r="B21" s="381"/>
      <c r="C21" s="382"/>
      <c r="D21" s="62"/>
      <c r="E21" s="63"/>
      <c r="F21" s="64">
        <f>F18*13.8888</f>
        <v>0</v>
      </c>
      <c r="G21" s="378" t="s">
        <v>99</v>
      </c>
      <c r="H21" s="379"/>
      <c r="I21" s="10">
        <v>1.98</v>
      </c>
      <c r="J21" s="9" t="e">
        <f>#REF!</f>
        <v>#REF!</v>
      </c>
      <c r="K21" s="9"/>
      <c r="L21" s="9"/>
      <c r="M21" s="9"/>
      <c r="N21" s="9"/>
      <c r="O21" s="9"/>
      <c r="P21" s="9"/>
      <c r="Q21" s="9"/>
    </row>
    <row r="22" spans="1:17" ht="38.25" customHeight="1">
      <c r="A22" s="377" t="str">
        <f>'단가산출서(물푸레)'!A22:H22</f>
        <v>※ 단가산출시 「2025년산 산림용 종묘가격(산림청고시 제2025-95호, 2025.12.24)」의 채취공정 이용. 
    인부임 단가는 「경기도 기간제근로자등 보수지침」 보통인부 단가 적용.</v>
      </c>
      <c r="B22" s="377"/>
      <c r="C22" s="377"/>
      <c r="D22" s="377"/>
      <c r="E22" s="377"/>
      <c r="F22" s="377"/>
      <c r="G22" s="377"/>
      <c r="H22" s="377"/>
    </row>
  </sheetData>
  <mergeCells count="40">
    <mergeCell ref="A1:H2"/>
    <mergeCell ref="A3:C3"/>
    <mergeCell ref="G5:H5"/>
    <mergeCell ref="G6:H6"/>
    <mergeCell ref="G7:H7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D13:D14"/>
    <mergeCell ref="E13:E14"/>
    <mergeCell ref="F13:F14"/>
    <mergeCell ref="F8:F9"/>
    <mergeCell ref="G8:H8"/>
    <mergeCell ref="G9:H9"/>
    <mergeCell ref="G10:H10"/>
    <mergeCell ref="F11:F12"/>
    <mergeCell ref="G11:H12"/>
    <mergeCell ref="A22:H22"/>
    <mergeCell ref="G21:H21"/>
    <mergeCell ref="A21:C21"/>
    <mergeCell ref="G13:H14"/>
    <mergeCell ref="A15:A16"/>
    <mergeCell ref="G15:H15"/>
    <mergeCell ref="G16:H16"/>
    <mergeCell ref="A17:C17"/>
    <mergeCell ref="A18:C20"/>
    <mergeCell ref="D18:D20"/>
    <mergeCell ref="E18:E20"/>
    <mergeCell ref="F18:F20"/>
    <mergeCell ref="G17:H17"/>
    <mergeCell ref="A13:A14"/>
    <mergeCell ref="B13:B14"/>
    <mergeCell ref="C13:C14"/>
  </mergeCells>
  <phoneticPr fontId="2" type="noConversion"/>
  <printOptions horizontalCentered="1"/>
  <pageMargins left="0.35433070866141736" right="0.31496062992125984" top="0.73" bottom="0.76" header="0.51181102362204722" footer="0.51181102362204722"/>
  <pageSetup paperSize="9" scale="8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22"/>
  <sheetViews>
    <sheetView view="pageBreakPreview" zoomScale="85" zoomScaleNormal="85" zoomScaleSheetLayoutView="85" workbookViewId="0">
      <pane ySplit="5" topLeftCell="A6" activePane="bottomLeft" state="frozen"/>
      <selection activeCell="E7" sqref="E7:F16"/>
      <selection pane="bottomLeft" activeCell="E7" sqref="E7:F16"/>
    </sheetView>
  </sheetViews>
  <sheetFormatPr defaultRowHeight="15"/>
  <cols>
    <col min="1" max="1" width="9.77734375" style="30" customWidth="1"/>
    <col min="2" max="2" width="6.109375" style="30" customWidth="1"/>
    <col min="3" max="3" width="10.21875" style="30" customWidth="1"/>
    <col min="4" max="4" width="6.5546875" style="30" customWidth="1"/>
    <col min="5" max="5" width="12" style="30" bestFit="1" customWidth="1"/>
    <col min="6" max="6" width="15.5546875" style="30" bestFit="1" customWidth="1"/>
    <col min="7" max="7" width="15.77734375" style="30" customWidth="1"/>
    <col min="8" max="8" width="17.77734375" style="30" customWidth="1"/>
    <col min="9" max="9" width="22.109375" style="9" customWidth="1"/>
    <col min="10" max="10" width="17.88671875" style="9" bestFit="1" customWidth="1"/>
    <col min="11" max="11" width="2.6640625" style="9" customWidth="1"/>
    <col min="12" max="12" width="21.88671875" style="9" bestFit="1" customWidth="1"/>
    <col min="13" max="13" width="4.21875" style="9" customWidth="1"/>
    <col min="14" max="14" width="11.77734375" style="9" customWidth="1"/>
    <col min="15" max="15" width="29.109375" style="9" customWidth="1"/>
    <col min="16" max="17" width="8.88671875" style="9"/>
    <col min="18" max="16384" width="8.88671875" style="7"/>
  </cols>
  <sheetData>
    <row r="1" spans="1:17" ht="14.25">
      <c r="A1" s="433" t="s">
        <v>112</v>
      </c>
      <c r="B1" s="433"/>
      <c r="C1" s="433"/>
      <c r="D1" s="433"/>
      <c r="E1" s="433"/>
      <c r="F1" s="433"/>
      <c r="G1" s="433"/>
      <c r="H1" s="433"/>
    </row>
    <row r="2" spans="1:17" ht="14.25">
      <c r="A2" s="433"/>
      <c r="B2" s="433"/>
      <c r="C2" s="433"/>
      <c r="D2" s="433"/>
      <c r="E2" s="433"/>
      <c r="F2" s="433"/>
      <c r="G2" s="433"/>
      <c r="H2" s="433"/>
    </row>
    <row r="3" spans="1:17" ht="28.5" customHeight="1">
      <c r="A3" s="434" t="s">
        <v>82</v>
      </c>
      <c r="B3" s="434"/>
      <c r="C3" s="434"/>
    </row>
    <row r="4" spans="1:17" ht="23.25" customHeight="1">
      <c r="H4" s="31" t="s">
        <v>40</v>
      </c>
    </row>
    <row r="5" spans="1:17" ht="39.75" customHeight="1">
      <c r="A5" s="32" t="s">
        <v>41</v>
      </c>
      <c r="B5" s="33" t="s">
        <v>42</v>
      </c>
      <c r="C5" s="34" t="s">
        <v>43</v>
      </c>
      <c r="D5" s="33" t="s">
        <v>25</v>
      </c>
      <c r="E5" s="35" t="s">
        <v>44</v>
      </c>
      <c r="F5" s="36" t="s">
        <v>45</v>
      </c>
      <c r="G5" s="435" t="s">
        <v>46</v>
      </c>
      <c r="H5" s="436"/>
    </row>
    <row r="6" spans="1:17" ht="39.75" customHeight="1">
      <c r="A6" s="37" t="s">
        <v>47</v>
      </c>
      <c r="B6" s="38"/>
      <c r="C6" s="39">
        <f>J6</f>
        <v>232.55813953488374</v>
      </c>
      <c r="D6" s="40" t="s">
        <v>48</v>
      </c>
      <c r="E6" s="39"/>
      <c r="F6" s="41"/>
      <c r="G6" s="441" t="s">
        <v>168</v>
      </c>
      <c r="H6" s="442"/>
      <c r="J6" s="13">
        <f>100/0.43</f>
        <v>232.55813953488374</v>
      </c>
    </row>
    <row r="7" spans="1:17" ht="39.75" customHeight="1">
      <c r="A7" s="42" t="s">
        <v>49</v>
      </c>
      <c r="B7" s="43" t="s">
        <v>50</v>
      </c>
      <c r="C7" s="44">
        <f>J7</f>
        <v>2.3255813953488373</v>
      </c>
      <c r="D7" s="45" t="s">
        <v>51</v>
      </c>
      <c r="E7" s="233"/>
      <c r="F7" s="46"/>
      <c r="G7" s="389" t="s">
        <v>179</v>
      </c>
      <c r="H7" s="390"/>
      <c r="J7" s="10">
        <f>C6/100</f>
        <v>2.3255813953488373</v>
      </c>
    </row>
    <row r="8" spans="1:17" ht="39.75" customHeight="1">
      <c r="A8" s="394" t="s">
        <v>52</v>
      </c>
      <c r="B8" s="427" t="s">
        <v>53</v>
      </c>
      <c r="C8" s="429">
        <f>J8</f>
        <v>3.4199726402188782E-2</v>
      </c>
      <c r="D8" s="402" t="s">
        <v>54</v>
      </c>
      <c r="E8" s="431"/>
      <c r="F8" s="419"/>
      <c r="G8" s="421" t="s">
        <v>55</v>
      </c>
      <c r="H8" s="422"/>
      <c r="J8" s="10">
        <f>C6/6800</f>
        <v>3.4199726402188782E-2</v>
      </c>
      <c r="O8" s="11"/>
      <c r="P8" s="11"/>
      <c r="Q8" s="11"/>
    </row>
    <row r="9" spans="1:17" ht="39.75" customHeight="1">
      <c r="A9" s="426"/>
      <c r="B9" s="428"/>
      <c r="C9" s="430"/>
      <c r="D9" s="428"/>
      <c r="E9" s="432"/>
      <c r="F9" s="420"/>
      <c r="G9" s="423" t="s">
        <v>103</v>
      </c>
      <c r="H9" s="424"/>
      <c r="J9" s="10"/>
      <c r="O9" s="11"/>
      <c r="P9" s="11"/>
      <c r="Q9" s="11"/>
    </row>
    <row r="10" spans="1:17" ht="39.75" customHeight="1">
      <c r="A10" s="51" t="s">
        <v>56</v>
      </c>
      <c r="B10" s="52" t="s">
        <v>111</v>
      </c>
      <c r="C10" s="53">
        <f>J10</f>
        <v>0.58875478363261702</v>
      </c>
      <c r="D10" s="54" t="s">
        <v>51</v>
      </c>
      <c r="E10" s="55"/>
      <c r="F10" s="56"/>
      <c r="G10" s="389" t="s">
        <v>84</v>
      </c>
      <c r="H10" s="390"/>
      <c r="J10" s="10">
        <f>C6/395</f>
        <v>0.58875478363261702</v>
      </c>
    </row>
    <row r="11" spans="1:17" ht="39.75" customHeight="1">
      <c r="A11" s="394" t="s">
        <v>57</v>
      </c>
      <c r="B11" s="427" t="s">
        <v>111</v>
      </c>
      <c r="C11" s="429">
        <v>1.39</v>
      </c>
      <c r="D11" s="402" t="s">
        <v>51</v>
      </c>
      <c r="E11" s="431"/>
      <c r="F11" s="419"/>
      <c r="G11" s="425" t="s">
        <v>70</v>
      </c>
      <c r="H11" s="384"/>
    </row>
    <row r="12" spans="1:17" ht="39.75" customHeight="1">
      <c r="A12" s="426"/>
      <c r="B12" s="428"/>
      <c r="C12" s="430"/>
      <c r="D12" s="428"/>
      <c r="E12" s="432"/>
      <c r="F12" s="420"/>
      <c r="G12" s="385"/>
      <c r="H12" s="386"/>
      <c r="J12" s="13">
        <f>C6/200</f>
        <v>1.1627906976744187</v>
      </c>
    </row>
    <row r="13" spans="1:17" ht="39.75" customHeight="1">
      <c r="A13" s="305" t="s">
        <v>58</v>
      </c>
      <c r="B13" s="411" t="s">
        <v>50</v>
      </c>
      <c r="C13" s="413">
        <v>0.05</v>
      </c>
      <c r="D13" s="403" t="s">
        <v>51</v>
      </c>
      <c r="E13" s="415"/>
      <c r="F13" s="417"/>
      <c r="G13" s="425" t="s">
        <v>71</v>
      </c>
      <c r="H13" s="384"/>
    </row>
    <row r="14" spans="1:17" ht="39.75" customHeight="1">
      <c r="A14" s="410"/>
      <c r="B14" s="412"/>
      <c r="C14" s="414"/>
      <c r="D14" s="412"/>
      <c r="E14" s="416"/>
      <c r="F14" s="418"/>
      <c r="G14" s="385"/>
      <c r="H14" s="386"/>
    </row>
    <row r="15" spans="1:17" ht="39.75" customHeight="1">
      <c r="A15" s="387" t="s">
        <v>59</v>
      </c>
      <c r="B15" s="47" t="s">
        <v>60</v>
      </c>
      <c r="C15" s="48">
        <v>1.42</v>
      </c>
      <c r="D15" s="49" t="s">
        <v>61</v>
      </c>
      <c r="E15" s="57"/>
      <c r="F15" s="50"/>
      <c r="G15" s="389" t="s">
        <v>107</v>
      </c>
      <c r="H15" s="390"/>
      <c r="J15" s="12"/>
    </row>
    <row r="16" spans="1:17" ht="39.75" customHeight="1">
      <c r="A16" s="388"/>
      <c r="B16" s="47" t="s">
        <v>62</v>
      </c>
      <c r="C16" s="48">
        <v>14.2</v>
      </c>
      <c r="D16" s="49" t="s">
        <v>63</v>
      </c>
      <c r="E16" s="57"/>
      <c r="F16" s="50"/>
      <c r="G16" s="389" t="s">
        <v>178</v>
      </c>
      <c r="H16" s="390"/>
    </row>
    <row r="17" spans="1:17" s="8" customFormat="1" ht="39.75" customHeight="1">
      <c r="A17" s="391" t="s">
        <v>64</v>
      </c>
      <c r="B17" s="392"/>
      <c r="C17" s="393"/>
      <c r="D17" s="45"/>
      <c r="E17" s="58"/>
      <c r="F17" s="46">
        <f>SUM(F7:F16)</f>
        <v>0</v>
      </c>
      <c r="G17" s="408"/>
      <c r="H17" s="409"/>
      <c r="I17" s="9"/>
      <c r="J17" s="9"/>
      <c r="K17" s="9"/>
      <c r="L17" s="9"/>
      <c r="M17" s="9"/>
      <c r="N17" s="9"/>
      <c r="O17" s="9"/>
      <c r="P17" s="9"/>
      <c r="Q17" s="9"/>
    </row>
    <row r="18" spans="1:17" s="8" customFormat="1" ht="39.75" customHeight="1">
      <c r="A18" s="394" t="s">
        <v>91</v>
      </c>
      <c r="B18" s="395"/>
      <c r="C18" s="396"/>
      <c r="D18" s="402"/>
      <c r="E18" s="405"/>
      <c r="F18" s="405">
        <f>ROUND(F17/100,0)</f>
        <v>0</v>
      </c>
      <c r="G18" s="59" t="s">
        <v>68</v>
      </c>
      <c r="H18" s="60">
        <f>(F7+F10+F11+F13)*0.01</f>
        <v>0</v>
      </c>
      <c r="I18" s="9"/>
      <c r="J18" s="9"/>
      <c r="K18" s="9"/>
      <c r="L18" s="9"/>
      <c r="M18" s="9"/>
      <c r="N18" s="9"/>
      <c r="O18" s="9"/>
      <c r="P18" s="9"/>
      <c r="Q18" s="9"/>
    </row>
    <row r="19" spans="1:17" s="8" customFormat="1" ht="39.75" customHeight="1">
      <c r="A19" s="305"/>
      <c r="B19" s="397"/>
      <c r="C19" s="398"/>
      <c r="D19" s="403"/>
      <c r="E19" s="406"/>
      <c r="F19" s="406"/>
      <c r="G19" s="59" t="s">
        <v>69</v>
      </c>
      <c r="H19" s="60">
        <f>(F15+F16)*0.01</f>
        <v>0</v>
      </c>
      <c r="I19" s="9"/>
      <c r="J19" s="9"/>
      <c r="K19" s="9"/>
      <c r="L19" s="9"/>
      <c r="M19" s="9"/>
      <c r="N19" s="9"/>
      <c r="O19" s="9"/>
      <c r="P19" s="9"/>
      <c r="Q19" s="9"/>
    </row>
    <row r="20" spans="1:17" s="8" customFormat="1" ht="39.75" customHeight="1">
      <c r="A20" s="399"/>
      <c r="B20" s="400"/>
      <c r="C20" s="401"/>
      <c r="D20" s="404"/>
      <c r="E20" s="407"/>
      <c r="F20" s="407"/>
      <c r="G20" s="59" t="s">
        <v>52</v>
      </c>
      <c r="H20" s="60">
        <f>F8*0.01</f>
        <v>0</v>
      </c>
      <c r="I20" s="9"/>
      <c r="J20" s="9"/>
      <c r="K20" s="9"/>
      <c r="L20" s="9"/>
      <c r="M20" s="9"/>
      <c r="N20" s="9"/>
      <c r="O20" s="9"/>
      <c r="P20" s="9"/>
      <c r="Q20" s="9"/>
    </row>
    <row r="21" spans="1:17" s="8" customFormat="1" ht="39.75" customHeight="1">
      <c r="A21" s="380" t="s">
        <v>66</v>
      </c>
      <c r="B21" s="381"/>
      <c r="C21" s="382"/>
      <c r="D21" s="62"/>
      <c r="E21" s="63"/>
      <c r="F21" s="64">
        <f>F18*22.22</f>
        <v>0</v>
      </c>
      <c r="G21" s="378" t="s">
        <v>92</v>
      </c>
      <c r="H21" s="379"/>
      <c r="I21" s="10">
        <v>22.2</v>
      </c>
      <c r="J21" s="9"/>
      <c r="K21" s="9"/>
      <c r="L21" s="9"/>
      <c r="M21" s="9"/>
      <c r="N21" s="9"/>
      <c r="O21" s="9"/>
      <c r="P21" s="9"/>
      <c r="Q21" s="9"/>
    </row>
    <row r="22" spans="1:17" ht="38.25" customHeight="1">
      <c r="A22" s="377" t="s">
        <v>234</v>
      </c>
      <c r="B22" s="377"/>
      <c r="C22" s="377"/>
      <c r="D22" s="377"/>
      <c r="E22" s="377"/>
      <c r="F22" s="377"/>
      <c r="G22" s="377"/>
      <c r="H22" s="377"/>
    </row>
  </sheetData>
  <mergeCells count="40">
    <mergeCell ref="A1:H2"/>
    <mergeCell ref="A3:C3"/>
    <mergeCell ref="G5:H5"/>
    <mergeCell ref="G6:H6"/>
    <mergeCell ref="G7:H7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D13:D14"/>
    <mergeCell ref="E13:E14"/>
    <mergeCell ref="F13:F14"/>
    <mergeCell ref="F8:F9"/>
    <mergeCell ref="G8:H8"/>
    <mergeCell ref="G9:H9"/>
    <mergeCell ref="G10:H10"/>
    <mergeCell ref="F11:F12"/>
    <mergeCell ref="G11:H12"/>
    <mergeCell ref="A22:H22"/>
    <mergeCell ref="G21:H21"/>
    <mergeCell ref="A21:C21"/>
    <mergeCell ref="G13:H14"/>
    <mergeCell ref="A15:A16"/>
    <mergeCell ref="G15:H15"/>
    <mergeCell ref="G16:H16"/>
    <mergeCell ref="A17:C17"/>
    <mergeCell ref="A18:C20"/>
    <mergeCell ref="D18:D20"/>
    <mergeCell ref="E18:E20"/>
    <mergeCell ref="F18:F20"/>
    <mergeCell ref="G17:H17"/>
    <mergeCell ref="A13:A14"/>
    <mergeCell ref="B13:B14"/>
    <mergeCell ref="C13:C14"/>
  </mergeCells>
  <phoneticPr fontId="2" type="noConversion"/>
  <printOptions horizontalCentered="1"/>
  <pageMargins left="0.35433070866141736" right="0.31496062992125984" top="0.73" bottom="0.76" header="0.51181102362204722" footer="0.51181102362204722"/>
  <pageSetup paperSize="9" scale="8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22"/>
  <sheetViews>
    <sheetView view="pageBreakPreview" zoomScale="85" zoomScaleNormal="85" zoomScaleSheetLayoutView="85" workbookViewId="0">
      <pane ySplit="5" topLeftCell="A6" activePane="bottomLeft" state="frozen"/>
      <selection activeCell="E7" sqref="E7:F16"/>
      <selection pane="bottomLeft" activeCell="E7" sqref="E7:F16"/>
    </sheetView>
  </sheetViews>
  <sheetFormatPr defaultRowHeight="15"/>
  <cols>
    <col min="1" max="1" width="9.77734375" style="30" customWidth="1"/>
    <col min="2" max="2" width="6.109375" style="30" customWidth="1"/>
    <col min="3" max="3" width="10.21875" style="30" customWidth="1"/>
    <col min="4" max="4" width="6.5546875" style="30" customWidth="1"/>
    <col min="5" max="5" width="12" style="30" bestFit="1" customWidth="1"/>
    <col min="6" max="6" width="15.5546875" style="30" bestFit="1" customWidth="1"/>
    <col min="7" max="7" width="15.77734375" style="30" customWidth="1"/>
    <col min="8" max="8" width="17.77734375" style="30" customWidth="1"/>
    <col min="9" max="9" width="22.109375" style="9" customWidth="1"/>
    <col min="10" max="10" width="17.88671875" style="9" bestFit="1" customWidth="1"/>
    <col min="11" max="11" width="2.6640625" style="9" customWidth="1"/>
    <col min="12" max="12" width="21.88671875" style="9" bestFit="1" customWidth="1"/>
    <col min="13" max="13" width="4.21875" style="9" customWidth="1"/>
    <col min="14" max="14" width="11.77734375" style="9" customWidth="1"/>
    <col min="15" max="15" width="29.109375" style="9" customWidth="1"/>
    <col min="16" max="17" width="8.88671875" style="9"/>
    <col min="18" max="16384" width="8.88671875" style="7"/>
  </cols>
  <sheetData>
    <row r="1" spans="1:17" ht="14.25" customHeight="1">
      <c r="A1" s="433" t="s">
        <v>112</v>
      </c>
      <c r="B1" s="433"/>
      <c r="C1" s="433"/>
      <c r="D1" s="433"/>
      <c r="E1" s="433"/>
      <c r="F1" s="433"/>
      <c r="G1" s="433"/>
      <c r="H1" s="433"/>
    </row>
    <row r="2" spans="1:17" ht="14.25" customHeight="1">
      <c r="A2" s="433"/>
      <c r="B2" s="433"/>
      <c r="C2" s="433"/>
      <c r="D2" s="433"/>
      <c r="E2" s="433"/>
      <c r="F2" s="433"/>
      <c r="G2" s="433"/>
      <c r="H2" s="433"/>
    </row>
    <row r="3" spans="1:17" ht="28.5" customHeight="1">
      <c r="A3" s="227" t="s">
        <v>209</v>
      </c>
      <c r="B3" s="227"/>
      <c r="C3" s="227"/>
    </row>
    <row r="4" spans="1:17" ht="23.25" customHeight="1">
      <c r="H4" s="31" t="s">
        <v>40</v>
      </c>
    </row>
    <row r="5" spans="1:17" ht="39.75" customHeight="1">
      <c r="A5" s="32" t="s">
        <v>41</v>
      </c>
      <c r="B5" s="33" t="s">
        <v>42</v>
      </c>
      <c r="C5" s="34" t="s">
        <v>43</v>
      </c>
      <c r="D5" s="33" t="s">
        <v>25</v>
      </c>
      <c r="E5" s="35" t="s">
        <v>44</v>
      </c>
      <c r="F5" s="36" t="s">
        <v>45</v>
      </c>
      <c r="G5" s="435" t="s">
        <v>46</v>
      </c>
      <c r="H5" s="436"/>
    </row>
    <row r="6" spans="1:17" ht="39.75" customHeight="1">
      <c r="A6" s="37" t="s">
        <v>47</v>
      </c>
      <c r="B6" s="38"/>
      <c r="C6" s="39">
        <f>J6</f>
        <v>119.04761904761905</v>
      </c>
      <c r="D6" s="40" t="s">
        <v>48</v>
      </c>
      <c r="E6" s="39"/>
      <c r="F6" s="41"/>
      <c r="G6" s="441" t="s">
        <v>176</v>
      </c>
      <c r="H6" s="442"/>
      <c r="J6" s="13">
        <f>100/0.84</f>
        <v>119.04761904761905</v>
      </c>
    </row>
    <row r="7" spans="1:17" ht="39.75" customHeight="1">
      <c r="A7" s="42" t="s">
        <v>49</v>
      </c>
      <c r="B7" s="43" t="s">
        <v>50</v>
      </c>
      <c r="C7" s="44">
        <f>J7</f>
        <v>2.4801587301587302</v>
      </c>
      <c r="D7" s="45" t="s">
        <v>51</v>
      </c>
      <c r="E7" s="233"/>
      <c r="F7" s="46"/>
      <c r="G7" s="389" t="s">
        <v>177</v>
      </c>
      <c r="H7" s="390"/>
      <c r="J7" s="10">
        <f>C6/48</f>
        <v>2.4801587301587302</v>
      </c>
    </row>
    <row r="8" spans="1:17" ht="39.75" customHeight="1">
      <c r="A8" s="394" t="s">
        <v>52</v>
      </c>
      <c r="B8" s="427" t="s">
        <v>53</v>
      </c>
      <c r="C8" s="429">
        <f>J8</f>
        <v>1.7507002801120448E-2</v>
      </c>
      <c r="D8" s="402" t="s">
        <v>54</v>
      </c>
      <c r="E8" s="431"/>
      <c r="F8" s="419"/>
      <c r="G8" s="421" t="s">
        <v>55</v>
      </c>
      <c r="H8" s="422"/>
      <c r="J8" s="10">
        <f>C6/6800</f>
        <v>1.7507002801120448E-2</v>
      </c>
      <c r="O8" s="11"/>
      <c r="P8" s="11"/>
      <c r="Q8" s="11"/>
    </row>
    <row r="9" spans="1:17" ht="39.75" customHeight="1">
      <c r="A9" s="426"/>
      <c r="B9" s="428"/>
      <c r="C9" s="430"/>
      <c r="D9" s="428"/>
      <c r="E9" s="432"/>
      <c r="F9" s="420"/>
      <c r="G9" s="423" t="s">
        <v>103</v>
      </c>
      <c r="H9" s="424"/>
      <c r="J9" s="10"/>
      <c r="O9" s="11"/>
      <c r="P9" s="11"/>
      <c r="Q9" s="11"/>
    </row>
    <row r="10" spans="1:17" ht="39.75" customHeight="1">
      <c r="A10" s="51" t="s">
        <v>56</v>
      </c>
      <c r="B10" s="52" t="s">
        <v>104</v>
      </c>
      <c r="C10" s="53">
        <f>J10</f>
        <v>0.25062656641604009</v>
      </c>
      <c r="D10" s="54" t="s">
        <v>51</v>
      </c>
      <c r="E10" s="55"/>
      <c r="F10" s="56"/>
      <c r="G10" s="389" t="s">
        <v>83</v>
      </c>
      <c r="H10" s="390"/>
      <c r="J10" s="10">
        <f>C6/475</f>
        <v>0.25062656641604009</v>
      </c>
    </row>
    <row r="11" spans="1:17" ht="39.75" customHeight="1">
      <c r="A11" s="394" t="s">
        <v>57</v>
      </c>
      <c r="B11" s="427" t="s">
        <v>104</v>
      </c>
      <c r="C11" s="429">
        <v>0.5</v>
      </c>
      <c r="D11" s="402" t="s">
        <v>51</v>
      </c>
      <c r="E11" s="431"/>
      <c r="F11" s="419"/>
      <c r="G11" s="425" t="s">
        <v>70</v>
      </c>
      <c r="H11" s="384"/>
    </row>
    <row r="12" spans="1:17" ht="39.75" customHeight="1">
      <c r="A12" s="426"/>
      <c r="B12" s="428"/>
      <c r="C12" s="430"/>
      <c r="D12" s="428"/>
      <c r="E12" s="432"/>
      <c r="F12" s="420"/>
      <c r="G12" s="385"/>
      <c r="H12" s="386"/>
      <c r="J12" s="13">
        <f>C6/200</f>
        <v>0.59523809523809523</v>
      </c>
    </row>
    <row r="13" spans="1:17" ht="39.75" customHeight="1">
      <c r="A13" s="305" t="s">
        <v>58</v>
      </c>
      <c r="B13" s="411" t="s">
        <v>50</v>
      </c>
      <c r="C13" s="413">
        <f>J14</f>
        <v>7.1428571428571425E-2</v>
      </c>
      <c r="D13" s="403" t="s">
        <v>51</v>
      </c>
      <c r="E13" s="415"/>
      <c r="F13" s="417"/>
      <c r="G13" s="425" t="s">
        <v>71</v>
      </c>
      <c r="H13" s="384"/>
    </row>
    <row r="14" spans="1:17" ht="39.75" customHeight="1">
      <c r="A14" s="410"/>
      <c r="B14" s="412"/>
      <c r="C14" s="414"/>
      <c r="D14" s="412"/>
      <c r="E14" s="416"/>
      <c r="F14" s="418"/>
      <c r="G14" s="385"/>
      <c r="H14" s="386"/>
      <c r="J14" s="9">
        <f>100/20/70</f>
        <v>7.1428571428571425E-2</v>
      </c>
    </row>
    <row r="15" spans="1:17" ht="39.75" customHeight="1">
      <c r="A15" s="387" t="s">
        <v>59</v>
      </c>
      <c r="B15" s="47" t="s">
        <v>60</v>
      </c>
      <c r="C15" s="48">
        <v>1.42</v>
      </c>
      <c r="D15" s="49" t="s">
        <v>61</v>
      </c>
      <c r="E15" s="57"/>
      <c r="F15" s="50"/>
      <c r="G15" s="389" t="s">
        <v>107</v>
      </c>
      <c r="H15" s="390"/>
      <c r="J15" s="12"/>
    </row>
    <row r="16" spans="1:17" ht="39.75" customHeight="1">
      <c r="A16" s="388"/>
      <c r="B16" s="47" t="s">
        <v>62</v>
      </c>
      <c r="C16" s="48">
        <v>14.2</v>
      </c>
      <c r="D16" s="49" t="s">
        <v>63</v>
      </c>
      <c r="E16" s="57"/>
      <c r="F16" s="50"/>
      <c r="G16" s="389" t="s">
        <v>178</v>
      </c>
      <c r="H16" s="390"/>
    </row>
    <row r="17" spans="1:17" s="8" customFormat="1" ht="39.75" customHeight="1">
      <c r="A17" s="391" t="s">
        <v>64</v>
      </c>
      <c r="B17" s="392"/>
      <c r="C17" s="393"/>
      <c r="D17" s="45"/>
      <c r="E17" s="58"/>
      <c r="F17" s="46">
        <f>SUM(F7:F16)</f>
        <v>0</v>
      </c>
      <c r="G17" s="408"/>
      <c r="H17" s="409"/>
      <c r="I17" s="9"/>
      <c r="J17" s="9"/>
      <c r="K17" s="9"/>
      <c r="L17" s="9"/>
      <c r="M17" s="9"/>
      <c r="N17" s="9"/>
      <c r="O17" s="9"/>
      <c r="P17" s="9"/>
      <c r="Q17" s="9"/>
    </row>
    <row r="18" spans="1:17" s="8" customFormat="1" ht="39.75" customHeight="1">
      <c r="A18" s="394" t="s">
        <v>65</v>
      </c>
      <c r="B18" s="395"/>
      <c r="C18" s="396"/>
      <c r="D18" s="402"/>
      <c r="E18" s="405"/>
      <c r="F18" s="405">
        <f>ROUND(F17/100,0)</f>
        <v>0</v>
      </c>
      <c r="G18" s="59" t="s">
        <v>68</v>
      </c>
      <c r="H18" s="60">
        <f>(F7+F10+F11+F13)*0.01</f>
        <v>0</v>
      </c>
      <c r="I18" s="9"/>
      <c r="J18" s="9"/>
      <c r="K18" s="9"/>
      <c r="L18" s="9"/>
      <c r="M18" s="9"/>
      <c r="N18" s="9"/>
      <c r="O18" s="9"/>
      <c r="P18" s="9"/>
      <c r="Q18" s="9"/>
    </row>
    <row r="19" spans="1:17" s="8" customFormat="1" ht="39.75" customHeight="1">
      <c r="A19" s="305"/>
      <c r="B19" s="397"/>
      <c r="C19" s="398"/>
      <c r="D19" s="403"/>
      <c r="E19" s="406"/>
      <c r="F19" s="406"/>
      <c r="G19" s="59" t="s">
        <v>69</v>
      </c>
      <c r="H19" s="60">
        <f>(F15+F16)*0.01</f>
        <v>0</v>
      </c>
      <c r="I19" s="9"/>
      <c r="J19" s="9"/>
      <c r="K19" s="9"/>
      <c r="L19" s="9"/>
      <c r="M19" s="9"/>
      <c r="N19" s="9"/>
      <c r="O19" s="9"/>
      <c r="P19" s="9"/>
      <c r="Q19" s="9"/>
    </row>
    <row r="20" spans="1:17" s="8" customFormat="1" ht="39.75" customHeight="1">
      <c r="A20" s="399"/>
      <c r="B20" s="400"/>
      <c r="C20" s="401"/>
      <c r="D20" s="404"/>
      <c r="E20" s="407"/>
      <c r="F20" s="407"/>
      <c r="G20" s="59" t="s">
        <v>52</v>
      </c>
      <c r="H20" s="60">
        <f>F8*0.01</f>
        <v>0</v>
      </c>
      <c r="I20" s="9"/>
      <c r="J20" s="9"/>
      <c r="K20" s="9"/>
      <c r="L20" s="9"/>
      <c r="M20" s="9"/>
      <c r="N20" s="9"/>
      <c r="O20" s="9"/>
      <c r="P20" s="9"/>
      <c r="Q20" s="9"/>
    </row>
    <row r="21" spans="1:17" s="8" customFormat="1" ht="39.75" customHeight="1">
      <c r="A21" s="380" t="s">
        <v>66</v>
      </c>
      <c r="B21" s="381"/>
      <c r="C21" s="382"/>
      <c r="D21" s="62"/>
      <c r="E21" s="63"/>
      <c r="F21" s="64">
        <f>F18*1.6694</f>
        <v>0</v>
      </c>
      <c r="G21" s="378" t="s">
        <v>94</v>
      </c>
      <c r="H21" s="379"/>
      <c r="I21" s="10">
        <v>1.67</v>
      </c>
      <c r="J21" s="9" t="e">
        <f>#REF!</f>
        <v>#REF!</v>
      </c>
      <c r="K21" s="9"/>
      <c r="L21" s="9"/>
      <c r="M21" s="9"/>
      <c r="N21" s="9"/>
      <c r="O21" s="9"/>
      <c r="P21" s="9"/>
      <c r="Q21" s="9"/>
    </row>
    <row r="22" spans="1:17" ht="38.25" customHeight="1">
      <c r="A22" s="377" t="str">
        <f>'단가산출서(백합)'!A22:H22</f>
        <v>※ 단가산출시 「2025년산 산림용 종묘가격(산림청고시 제2025-95호, 2025.12.24)」의 채취공정 이용. 
    인부임 단가는 「경기도 기간제근로자등 보수지침」 보통인부 단가 적용.</v>
      </c>
      <c r="B22" s="377"/>
      <c r="C22" s="377"/>
      <c r="D22" s="377"/>
      <c r="E22" s="377"/>
      <c r="F22" s="377"/>
      <c r="G22" s="377"/>
      <c r="H22" s="377"/>
    </row>
  </sheetData>
  <mergeCells count="39">
    <mergeCell ref="A1:H2"/>
    <mergeCell ref="G5:H5"/>
    <mergeCell ref="G6:H6"/>
    <mergeCell ref="G7:H7"/>
    <mergeCell ref="A8:A9"/>
    <mergeCell ref="B8:B9"/>
    <mergeCell ref="C8:C9"/>
    <mergeCell ref="D8:D9"/>
    <mergeCell ref="E8:E9"/>
    <mergeCell ref="F8:F9"/>
    <mergeCell ref="G8:H8"/>
    <mergeCell ref="G9:H9"/>
    <mergeCell ref="D13:D14"/>
    <mergeCell ref="E13:E14"/>
    <mergeCell ref="F13:F14"/>
    <mergeCell ref="G10:H10"/>
    <mergeCell ref="A11:A12"/>
    <mergeCell ref="B11:B12"/>
    <mergeCell ref="C11:C12"/>
    <mergeCell ref="D11:D12"/>
    <mergeCell ref="E11:E12"/>
    <mergeCell ref="F11:F12"/>
    <mergeCell ref="G11:H12"/>
    <mergeCell ref="A22:H22"/>
    <mergeCell ref="G21:H21"/>
    <mergeCell ref="A21:C21"/>
    <mergeCell ref="G13:H14"/>
    <mergeCell ref="A15:A16"/>
    <mergeCell ref="G15:H15"/>
    <mergeCell ref="G16:H16"/>
    <mergeCell ref="A17:C17"/>
    <mergeCell ref="A18:C20"/>
    <mergeCell ref="D18:D20"/>
    <mergeCell ref="E18:E20"/>
    <mergeCell ref="F18:F20"/>
    <mergeCell ref="G17:H17"/>
    <mergeCell ref="A13:A14"/>
    <mergeCell ref="B13:B14"/>
    <mergeCell ref="C13:C14"/>
  </mergeCells>
  <phoneticPr fontId="2" type="noConversion"/>
  <printOptions horizontalCentered="1"/>
  <pageMargins left="0.35433070866141736" right="0.31496062992125984" top="0.73" bottom="0.76" header="0.51181102362204722" footer="0.51181102362204722"/>
  <pageSetup paperSize="9" scale="8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22"/>
  <sheetViews>
    <sheetView view="pageBreakPreview" zoomScale="85" zoomScaleNormal="85" zoomScaleSheetLayoutView="85" workbookViewId="0">
      <pane ySplit="5" topLeftCell="A6" activePane="bottomLeft" state="frozen"/>
      <selection activeCell="E7" sqref="E7:F16"/>
      <selection pane="bottomLeft" activeCell="E7" sqref="E7:F16"/>
    </sheetView>
  </sheetViews>
  <sheetFormatPr defaultRowHeight="15"/>
  <cols>
    <col min="1" max="1" width="9.77734375" style="30" customWidth="1"/>
    <col min="2" max="2" width="6.109375" style="30" customWidth="1"/>
    <col min="3" max="3" width="10.21875" style="30" customWidth="1"/>
    <col min="4" max="4" width="6.5546875" style="30" customWidth="1"/>
    <col min="5" max="5" width="12" style="30" bestFit="1" customWidth="1"/>
    <col min="6" max="6" width="15.5546875" style="30" bestFit="1" customWidth="1"/>
    <col min="7" max="7" width="15.77734375" style="30" customWidth="1"/>
    <col min="8" max="8" width="17.77734375" style="30" customWidth="1"/>
    <col min="9" max="9" width="22.109375" style="9" customWidth="1"/>
    <col min="10" max="10" width="17.88671875" style="9" bestFit="1" customWidth="1"/>
    <col min="11" max="11" width="2.6640625" style="9" customWidth="1"/>
    <col min="12" max="12" width="21.88671875" style="9" bestFit="1" customWidth="1"/>
    <col min="13" max="13" width="4.21875" style="9" customWidth="1"/>
    <col min="14" max="14" width="11.77734375" style="9" customWidth="1"/>
    <col min="15" max="15" width="29.109375" style="9" customWidth="1"/>
    <col min="16" max="17" width="8.88671875" style="9"/>
    <col min="18" max="16384" width="8.88671875" style="7"/>
  </cols>
  <sheetData>
    <row r="1" spans="1:17" ht="14.25" customHeight="1">
      <c r="A1" s="433" t="s">
        <v>112</v>
      </c>
      <c r="B1" s="433"/>
      <c r="C1" s="433"/>
      <c r="D1" s="433"/>
      <c r="E1" s="433"/>
      <c r="F1" s="433"/>
      <c r="G1" s="433"/>
      <c r="H1" s="433"/>
    </row>
    <row r="2" spans="1:17" ht="14.25" customHeight="1">
      <c r="A2" s="433"/>
      <c r="B2" s="433"/>
      <c r="C2" s="433"/>
      <c r="D2" s="433"/>
      <c r="E2" s="433"/>
      <c r="F2" s="433"/>
      <c r="G2" s="433"/>
      <c r="H2" s="433"/>
    </row>
    <row r="3" spans="1:17" ht="28.5" customHeight="1">
      <c r="A3" s="227" t="s">
        <v>230</v>
      </c>
      <c r="B3" s="227"/>
      <c r="C3" s="227"/>
    </row>
    <row r="4" spans="1:17" ht="23.25" customHeight="1">
      <c r="H4" s="31" t="s">
        <v>40</v>
      </c>
    </row>
    <row r="5" spans="1:17" ht="39.75" customHeight="1">
      <c r="A5" s="32" t="s">
        <v>41</v>
      </c>
      <c r="B5" s="33" t="s">
        <v>42</v>
      </c>
      <c r="C5" s="34" t="s">
        <v>43</v>
      </c>
      <c r="D5" s="33" t="s">
        <v>25</v>
      </c>
      <c r="E5" s="35" t="s">
        <v>44</v>
      </c>
      <c r="F5" s="36" t="s">
        <v>45</v>
      </c>
      <c r="G5" s="435" t="s">
        <v>46</v>
      </c>
      <c r="H5" s="436"/>
    </row>
    <row r="6" spans="1:17" ht="39.75" customHeight="1">
      <c r="A6" s="37" t="s">
        <v>47</v>
      </c>
      <c r="B6" s="38"/>
      <c r="C6" s="39">
        <f>J6</f>
        <v>400</v>
      </c>
      <c r="D6" s="40" t="s">
        <v>48</v>
      </c>
      <c r="E6" s="39"/>
      <c r="F6" s="41"/>
      <c r="G6" s="441" t="s">
        <v>231</v>
      </c>
      <c r="H6" s="442"/>
      <c r="J6" s="13">
        <f>100/0.25</f>
        <v>400</v>
      </c>
    </row>
    <row r="7" spans="1:17" ht="39.75" customHeight="1">
      <c r="A7" s="42" t="s">
        <v>49</v>
      </c>
      <c r="B7" s="43" t="s">
        <v>50</v>
      </c>
      <c r="C7" s="44">
        <f>J7</f>
        <v>6.666666666666667</v>
      </c>
      <c r="D7" s="45" t="s">
        <v>51</v>
      </c>
      <c r="E7" s="233"/>
      <c r="F7" s="46"/>
      <c r="G7" s="389" t="s">
        <v>232</v>
      </c>
      <c r="H7" s="390"/>
      <c r="J7" s="10">
        <f>C6/60</f>
        <v>6.666666666666667</v>
      </c>
    </row>
    <row r="8" spans="1:17" ht="39.75" customHeight="1">
      <c r="A8" s="394" t="s">
        <v>52</v>
      </c>
      <c r="B8" s="427" t="s">
        <v>53</v>
      </c>
      <c r="C8" s="429">
        <f>J8</f>
        <v>5.8823529411764705E-2</v>
      </c>
      <c r="D8" s="402" t="s">
        <v>54</v>
      </c>
      <c r="E8" s="431"/>
      <c r="F8" s="419"/>
      <c r="G8" s="421" t="s">
        <v>55</v>
      </c>
      <c r="H8" s="422"/>
      <c r="J8" s="10">
        <f>C6/6800</f>
        <v>5.8823529411764705E-2</v>
      </c>
      <c r="O8" s="11"/>
      <c r="P8" s="11"/>
      <c r="Q8" s="11"/>
    </row>
    <row r="9" spans="1:17" ht="39.75" customHeight="1">
      <c r="A9" s="426"/>
      <c r="B9" s="428"/>
      <c r="C9" s="430"/>
      <c r="D9" s="428"/>
      <c r="E9" s="432"/>
      <c r="F9" s="420"/>
      <c r="G9" s="423" t="s">
        <v>103</v>
      </c>
      <c r="H9" s="424"/>
      <c r="J9" s="10"/>
      <c r="O9" s="11"/>
      <c r="P9" s="11"/>
      <c r="Q9" s="11"/>
    </row>
    <row r="10" spans="1:17" ht="39.75" customHeight="1">
      <c r="A10" s="51" t="s">
        <v>56</v>
      </c>
      <c r="B10" s="52" t="s">
        <v>104</v>
      </c>
      <c r="C10" s="53">
        <f>J10</f>
        <v>1</v>
      </c>
      <c r="D10" s="54" t="s">
        <v>51</v>
      </c>
      <c r="E10" s="55"/>
      <c r="F10" s="56"/>
      <c r="G10" s="389" t="s">
        <v>67</v>
      </c>
      <c r="H10" s="390"/>
      <c r="J10" s="10">
        <f>C6/400</f>
        <v>1</v>
      </c>
    </row>
    <row r="11" spans="1:17" ht="39.75" customHeight="1">
      <c r="A11" s="394" t="s">
        <v>57</v>
      </c>
      <c r="B11" s="427" t="s">
        <v>104</v>
      </c>
      <c r="C11" s="429">
        <v>0.5</v>
      </c>
      <c r="D11" s="402" t="s">
        <v>51</v>
      </c>
      <c r="E11" s="431"/>
      <c r="F11" s="419"/>
      <c r="G11" s="425" t="s">
        <v>70</v>
      </c>
      <c r="H11" s="384"/>
    </row>
    <row r="12" spans="1:17" ht="39.75" customHeight="1">
      <c r="A12" s="426"/>
      <c r="B12" s="428"/>
      <c r="C12" s="430"/>
      <c r="D12" s="428"/>
      <c r="E12" s="432"/>
      <c r="F12" s="420"/>
      <c r="G12" s="385"/>
      <c r="H12" s="386"/>
      <c r="J12" s="13">
        <f>C6/200</f>
        <v>2</v>
      </c>
    </row>
    <row r="13" spans="1:17" ht="39.75" customHeight="1">
      <c r="A13" s="305" t="s">
        <v>58</v>
      </c>
      <c r="B13" s="411" t="s">
        <v>50</v>
      </c>
      <c r="C13" s="413">
        <f>J14</f>
        <v>7.1428571428571425E-2</v>
      </c>
      <c r="D13" s="403" t="s">
        <v>51</v>
      </c>
      <c r="E13" s="415"/>
      <c r="F13" s="417"/>
      <c r="G13" s="425" t="s">
        <v>71</v>
      </c>
      <c r="H13" s="384"/>
    </row>
    <row r="14" spans="1:17" ht="39.75" customHeight="1">
      <c r="A14" s="410"/>
      <c r="B14" s="412"/>
      <c r="C14" s="414"/>
      <c r="D14" s="412"/>
      <c r="E14" s="416"/>
      <c r="F14" s="418"/>
      <c r="G14" s="385"/>
      <c r="H14" s="386"/>
      <c r="J14" s="9">
        <f>100/20/70</f>
        <v>7.1428571428571425E-2</v>
      </c>
    </row>
    <row r="15" spans="1:17" ht="39.75" customHeight="1">
      <c r="A15" s="387" t="s">
        <v>59</v>
      </c>
      <c r="B15" s="47" t="s">
        <v>60</v>
      </c>
      <c r="C15" s="48">
        <v>1.42</v>
      </c>
      <c r="D15" s="49" t="s">
        <v>61</v>
      </c>
      <c r="E15" s="57"/>
      <c r="F15" s="50"/>
      <c r="G15" s="389" t="s">
        <v>107</v>
      </c>
      <c r="H15" s="390"/>
      <c r="J15" s="12"/>
    </row>
    <row r="16" spans="1:17" ht="39.75" customHeight="1">
      <c r="A16" s="388"/>
      <c r="B16" s="47" t="s">
        <v>62</v>
      </c>
      <c r="C16" s="48">
        <v>14.2</v>
      </c>
      <c r="D16" s="49" t="s">
        <v>63</v>
      </c>
      <c r="E16" s="57"/>
      <c r="F16" s="50"/>
      <c r="G16" s="389" t="s">
        <v>178</v>
      </c>
      <c r="H16" s="390"/>
    </row>
    <row r="17" spans="1:17" s="8" customFormat="1" ht="39.75" customHeight="1">
      <c r="A17" s="391" t="s">
        <v>64</v>
      </c>
      <c r="B17" s="392"/>
      <c r="C17" s="393"/>
      <c r="D17" s="45"/>
      <c r="E17" s="58"/>
      <c r="F17" s="46">
        <f>SUM(F7:F16)</f>
        <v>0</v>
      </c>
      <c r="G17" s="408"/>
      <c r="H17" s="409"/>
      <c r="I17" s="9"/>
      <c r="J17" s="9"/>
      <c r="K17" s="9"/>
      <c r="L17" s="9"/>
      <c r="M17" s="9"/>
      <c r="N17" s="9"/>
      <c r="O17" s="9"/>
      <c r="P17" s="9"/>
      <c r="Q17" s="9"/>
    </row>
    <row r="18" spans="1:17" s="8" customFormat="1" ht="39.75" customHeight="1">
      <c r="A18" s="394" t="s">
        <v>65</v>
      </c>
      <c r="B18" s="395"/>
      <c r="C18" s="396"/>
      <c r="D18" s="402"/>
      <c r="E18" s="405"/>
      <c r="F18" s="405">
        <f>ROUND(F17/100,0)</f>
        <v>0</v>
      </c>
      <c r="G18" s="59" t="s">
        <v>68</v>
      </c>
      <c r="H18" s="60">
        <f>(F7+F10+F11+F13)*0.01</f>
        <v>0</v>
      </c>
      <c r="I18" s="9"/>
      <c r="J18" s="9"/>
      <c r="K18" s="9"/>
      <c r="L18" s="9"/>
      <c r="M18" s="9"/>
      <c r="N18" s="9"/>
      <c r="O18" s="9"/>
      <c r="P18" s="9"/>
      <c r="Q18" s="9"/>
    </row>
    <row r="19" spans="1:17" s="8" customFormat="1" ht="39.75" customHeight="1">
      <c r="A19" s="305"/>
      <c r="B19" s="397"/>
      <c r="C19" s="398"/>
      <c r="D19" s="403"/>
      <c r="E19" s="406"/>
      <c r="F19" s="406"/>
      <c r="G19" s="59" t="s">
        <v>69</v>
      </c>
      <c r="H19" s="60">
        <f>(F15+F16)*0.01</f>
        <v>0</v>
      </c>
      <c r="I19" s="9"/>
      <c r="J19" s="9"/>
      <c r="K19" s="9"/>
      <c r="L19" s="9"/>
      <c r="M19" s="9"/>
      <c r="N19" s="9"/>
      <c r="O19" s="9"/>
      <c r="P19" s="9"/>
      <c r="Q19" s="9"/>
    </row>
    <row r="20" spans="1:17" s="8" customFormat="1" ht="39.75" customHeight="1">
      <c r="A20" s="399"/>
      <c r="B20" s="400"/>
      <c r="C20" s="401"/>
      <c r="D20" s="404"/>
      <c r="E20" s="407"/>
      <c r="F20" s="407"/>
      <c r="G20" s="59" t="s">
        <v>52</v>
      </c>
      <c r="H20" s="60">
        <f>F8*0.01</f>
        <v>0</v>
      </c>
      <c r="I20" s="9"/>
      <c r="J20" s="9"/>
      <c r="K20" s="9"/>
      <c r="L20" s="9"/>
      <c r="M20" s="9"/>
      <c r="N20" s="9"/>
      <c r="O20" s="9"/>
      <c r="P20" s="9"/>
      <c r="Q20" s="9"/>
    </row>
    <row r="21" spans="1:17" s="8" customFormat="1" ht="39.75" customHeight="1">
      <c r="A21" s="380" t="s">
        <v>66</v>
      </c>
      <c r="B21" s="381"/>
      <c r="C21" s="382"/>
      <c r="D21" s="62"/>
      <c r="E21" s="63"/>
      <c r="F21" s="64">
        <f>F18*2.1413</f>
        <v>0</v>
      </c>
      <c r="G21" s="378" t="s">
        <v>233</v>
      </c>
      <c r="H21" s="379"/>
      <c r="I21" s="10">
        <v>1.67</v>
      </c>
      <c r="J21" s="9" t="e">
        <f>#REF!</f>
        <v>#REF!</v>
      </c>
      <c r="K21" s="9"/>
      <c r="L21" s="9"/>
      <c r="M21" s="9"/>
      <c r="N21" s="9"/>
      <c r="O21" s="9"/>
      <c r="P21" s="9"/>
      <c r="Q21" s="9"/>
    </row>
    <row r="22" spans="1:17" ht="38.25" customHeight="1">
      <c r="A22" s="377" t="s">
        <v>235</v>
      </c>
      <c r="B22" s="377"/>
      <c r="C22" s="377"/>
      <c r="D22" s="377"/>
      <c r="E22" s="377"/>
      <c r="F22" s="377"/>
      <c r="G22" s="377"/>
      <c r="H22" s="377"/>
    </row>
  </sheetData>
  <mergeCells count="39">
    <mergeCell ref="A1:H2"/>
    <mergeCell ref="G5:H5"/>
    <mergeCell ref="G6:H6"/>
    <mergeCell ref="G7:H7"/>
    <mergeCell ref="A8:A9"/>
    <mergeCell ref="B8:B9"/>
    <mergeCell ref="C8:C9"/>
    <mergeCell ref="D8:D9"/>
    <mergeCell ref="G8:H8"/>
    <mergeCell ref="G9:H9"/>
    <mergeCell ref="G10:H10"/>
    <mergeCell ref="E8:E9"/>
    <mergeCell ref="F8:F9"/>
    <mergeCell ref="E11:E12"/>
    <mergeCell ref="G13:H14"/>
    <mergeCell ref="G11:H12"/>
    <mergeCell ref="E13:E14"/>
    <mergeCell ref="F13:F14"/>
    <mergeCell ref="F11:F12"/>
    <mergeCell ref="A13:A14"/>
    <mergeCell ref="B13:B14"/>
    <mergeCell ref="C13:C14"/>
    <mergeCell ref="D13:D14"/>
    <mergeCell ref="A11:A12"/>
    <mergeCell ref="B11:B12"/>
    <mergeCell ref="C11:C12"/>
    <mergeCell ref="D11:D12"/>
    <mergeCell ref="A15:A16"/>
    <mergeCell ref="G15:H15"/>
    <mergeCell ref="G16:H16"/>
    <mergeCell ref="A17:C17"/>
    <mergeCell ref="G17:H17"/>
    <mergeCell ref="A22:H22"/>
    <mergeCell ref="A18:C20"/>
    <mergeCell ref="D18:D20"/>
    <mergeCell ref="E18:E20"/>
    <mergeCell ref="F18:F20"/>
    <mergeCell ref="A21:C21"/>
    <mergeCell ref="G21:H21"/>
  </mergeCells>
  <phoneticPr fontId="2" type="noConversion"/>
  <printOptions horizontalCentered="1"/>
  <pageMargins left="0.35433070866141736" right="0.31496062992125984" top="0.73" bottom="0.76" header="0.51181102362204722" footer="0.51181102362204722"/>
  <pageSetup paperSize="9" scale="8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Q18"/>
  <sheetViews>
    <sheetView workbookViewId="0">
      <selection activeCell="G12" sqref="G12"/>
    </sheetView>
  </sheetViews>
  <sheetFormatPr defaultRowHeight="14.25"/>
  <cols>
    <col min="1" max="1" width="8.109375" style="28" customWidth="1"/>
    <col min="2" max="2" width="11.33203125" style="28" customWidth="1"/>
    <col min="3" max="3" width="11.109375" style="28" customWidth="1"/>
    <col min="4" max="4" width="7.88671875" style="28" customWidth="1"/>
    <col min="5" max="5" width="10.77734375" style="28" customWidth="1"/>
    <col min="6" max="6" width="26.33203125" style="28" bestFit="1" customWidth="1"/>
    <col min="7" max="8" width="7.5546875" style="28" customWidth="1"/>
    <col min="10" max="13" width="0" hidden="1" customWidth="1"/>
    <col min="14" max="14" width="10.44140625" hidden="1" customWidth="1"/>
    <col min="15" max="15" width="24" hidden="1" customWidth="1"/>
    <col min="16" max="16" width="0" style="217" hidden="1" customWidth="1"/>
    <col min="17" max="17" width="0" hidden="1" customWidth="1"/>
  </cols>
  <sheetData>
    <row r="1" spans="1:17" ht="48" customHeight="1">
      <c r="A1" s="452" t="s">
        <v>236</v>
      </c>
      <c r="B1" s="452"/>
      <c r="C1" s="452"/>
      <c r="D1" s="452"/>
      <c r="E1" s="452"/>
      <c r="F1" s="452"/>
      <c r="G1" s="452"/>
      <c r="H1" s="452"/>
      <c r="J1" s="448" t="s">
        <v>210</v>
      </c>
      <c r="K1" s="448"/>
      <c r="L1" s="448"/>
      <c r="M1" s="448"/>
      <c r="N1" s="448"/>
      <c r="O1" s="448"/>
      <c r="P1" s="448"/>
      <c r="Q1" s="448"/>
    </row>
    <row r="2" spans="1:17" ht="25.5" customHeight="1">
      <c r="A2" s="446" t="s">
        <v>75</v>
      </c>
      <c r="B2" s="446" t="s">
        <v>147</v>
      </c>
      <c r="C2" s="446" t="s">
        <v>133</v>
      </c>
      <c r="D2" s="449" t="s">
        <v>134</v>
      </c>
      <c r="E2" s="450"/>
      <c r="F2" s="450"/>
      <c r="G2" s="450"/>
      <c r="H2" s="451"/>
      <c r="J2" s="446" t="s">
        <v>75</v>
      </c>
      <c r="K2" s="446" t="s">
        <v>147</v>
      </c>
      <c r="L2" s="446" t="s">
        <v>133</v>
      </c>
      <c r="M2" s="449" t="s">
        <v>134</v>
      </c>
      <c r="N2" s="450"/>
      <c r="O2" s="450"/>
      <c r="P2" s="450"/>
      <c r="Q2" s="451"/>
    </row>
    <row r="3" spans="1:17" ht="17.25" customHeight="1">
      <c r="A3" s="447"/>
      <c r="B3" s="447"/>
      <c r="C3" s="447"/>
      <c r="D3" s="446" t="s">
        <v>146</v>
      </c>
      <c r="E3" s="446" t="s">
        <v>135</v>
      </c>
      <c r="F3" s="446" t="s">
        <v>136</v>
      </c>
      <c r="G3" s="446" t="s">
        <v>137</v>
      </c>
      <c r="H3" s="446" t="s">
        <v>138</v>
      </c>
      <c r="J3" s="447"/>
      <c r="K3" s="447"/>
      <c r="L3" s="447"/>
      <c r="M3" s="446" t="s">
        <v>146</v>
      </c>
      <c r="N3" s="446" t="s">
        <v>135</v>
      </c>
      <c r="O3" s="446" t="s">
        <v>136</v>
      </c>
      <c r="P3" s="453" t="s">
        <v>137</v>
      </c>
      <c r="Q3" s="446" t="s">
        <v>138</v>
      </c>
    </row>
    <row r="4" spans="1:17" ht="17.25" customHeight="1">
      <c r="A4" s="447"/>
      <c r="B4" s="447"/>
      <c r="C4" s="447"/>
      <c r="D4" s="447"/>
      <c r="E4" s="447"/>
      <c r="F4" s="447"/>
      <c r="G4" s="447"/>
      <c r="H4" s="447"/>
      <c r="J4" s="447"/>
      <c r="K4" s="447"/>
      <c r="L4" s="447"/>
      <c r="M4" s="447"/>
      <c r="N4" s="447"/>
      <c r="O4" s="447"/>
      <c r="P4" s="454"/>
      <c r="Q4" s="447"/>
    </row>
    <row r="5" spans="1:17" ht="35.25" customHeight="1">
      <c r="A5" s="26" t="s">
        <v>139</v>
      </c>
      <c r="B5" s="26" t="s">
        <v>140</v>
      </c>
      <c r="C5" s="26" t="s">
        <v>141</v>
      </c>
      <c r="D5" s="26">
        <v>0.2</v>
      </c>
      <c r="E5" s="26" t="s">
        <v>79</v>
      </c>
      <c r="F5" s="29" t="s">
        <v>148</v>
      </c>
      <c r="G5" s="26" t="s">
        <v>211</v>
      </c>
      <c r="H5" s="26" t="s">
        <v>189</v>
      </c>
      <c r="J5" s="443" t="s">
        <v>199</v>
      </c>
      <c r="K5" s="444"/>
      <c r="L5" s="445"/>
      <c r="M5" s="26">
        <f>SUM(M6:M21)</f>
        <v>17.600000000000001</v>
      </c>
      <c r="N5" s="26" t="s">
        <v>200</v>
      </c>
      <c r="O5" s="29"/>
      <c r="P5" s="215">
        <f>SUM(P6:P18)</f>
        <v>13836</v>
      </c>
      <c r="Q5" s="26"/>
    </row>
    <row r="6" spans="1:17" ht="35.25" customHeight="1">
      <c r="A6" s="26" t="s">
        <v>142</v>
      </c>
      <c r="B6" s="26" t="s">
        <v>142</v>
      </c>
      <c r="C6" s="26" t="s">
        <v>143</v>
      </c>
      <c r="D6" s="26">
        <v>2.2000000000000002</v>
      </c>
      <c r="E6" s="26" t="s">
        <v>142</v>
      </c>
      <c r="F6" s="29" t="s">
        <v>149</v>
      </c>
      <c r="G6" s="26" t="s">
        <v>150</v>
      </c>
      <c r="H6" s="26" t="s">
        <v>214</v>
      </c>
      <c r="J6" s="212" t="s">
        <v>139</v>
      </c>
      <c r="K6" s="212" t="s">
        <v>140</v>
      </c>
      <c r="L6" s="212" t="s">
        <v>141</v>
      </c>
      <c r="M6" s="212">
        <v>0.2</v>
      </c>
      <c r="N6" s="212" t="s">
        <v>79</v>
      </c>
      <c r="O6" s="213" t="s">
        <v>148</v>
      </c>
      <c r="P6" s="216">
        <v>15</v>
      </c>
      <c r="Q6" s="212" t="s">
        <v>192</v>
      </c>
    </row>
    <row r="7" spans="1:17" ht="35.25" customHeight="1">
      <c r="A7" s="26" t="s">
        <v>142</v>
      </c>
      <c r="B7" s="26" t="s">
        <v>142</v>
      </c>
      <c r="C7" s="26" t="s">
        <v>144</v>
      </c>
      <c r="D7" s="26">
        <v>0.3</v>
      </c>
      <c r="E7" s="26" t="s">
        <v>142</v>
      </c>
      <c r="F7" s="29" t="s">
        <v>212</v>
      </c>
      <c r="G7" s="26" t="s">
        <v>152</v>
      </c>
      <c r="H7" s="26" t="s">
        <v>215</v>
      </c>
      <c r="J7" s="212" t="s">
        <v>142</v>
      </c>
      <c r="K7" s="212" t="s">
        <v>142</v>
      </c>
      <c r="L7" s="212" t="s">
        <v>143</v>
      </c>
      <c r="M7" s="212">
        <v>2.2000000000000002</v>
      </c>
      <c r="N7" s="212" t="s">
        <v>142</v>
      </c>
      <c r="O7" s="213" t="s">
        <v>149</v>
      </c>
      <c r="P7" s="216">
        <v>216</v>
      </c>
      <c r="Q7" s="212" t="s">
        <v>190</v>
      </c>
    </row>
    <row r="8" spans="1:17" ht="35.25" customHeight="1">
      <c r="A8" s="26" t="s">
        <v>142</v>
      </c>
      <c r="B8" s="26" t="s">
        <v>164</v>
      </c>
      <c r="C8" s="26" t="s">
        <v>162</v>
      </c>
      <c r="D8" s="26">
        <v>0.5</v>
      </c>
      <c r="E8" s="26" t="s">
        <v>142</v>
      </c>
      <c r="F8" s="29" t="s">
        <v>163</v>
      </c>
      <c r="G8" s="26" t="s">
        <v>169</v>
      </c>
      <c r="H8" s="26" t="s">
        <v>216</v>
      </c>
      <c r="J8" s="212" t="s">
        <v>142</v>
      </c>
      <c r="K8" s="212" t="s">
        <v>142</v>
      </c>
      <c r="L8" s="212" t="s">
        <v>144</v>
      </c>
      <c r="M8" s="212">
        <v>0.3</v>
      </c>
      <c r="N8" s="212" t="s">
        <v>142</v>
      </c>
      <c r="O8" s="213" t="s">
        <v>151</v>
      </c>
      <c r="P8" s="216">
        <v>20</v>
      </c>
      <c r="Q8" s="212" t="s">
        <v>193</v>
      </c>
    </row>
    <row r="9" spans="1:17" ht="35.25" customHeight="1">
      <c r="A9" s="26" t="s">
        <v>142</v>
      </c>
      <c r="B9" s="26" t="s">
        <v>145</v>
      </c>
      <c r="C9" s="26" t="s">
        <v>144</v>
      </c>
      <c r="D9" s="26">
        <v>0.5</v>
      </c>
      <c r="E9" s="26" t="s">
        <v>158</v>
      </c>
      <c r="F9" s="29" t="s">
        <v>153</v>
      </c>
      <c r="G9" s="26" t="s">
        <v>159</v>
      </c>
      <c r="H9" s="26" t="s">
        <v>213</v>
      </c>
      <c r="J9" s="212" t="s">
        <v>142</v>
      </c>
      <c r="K9" s="212" t="s">
        <v>164</v>
      </c>
      <c r="L9" s="212" t="s">
        <v>162</v>
      </c>
      <c r="M9" s="212">
        <v>0.5</v>
      </c>
      <c r="N9" s="212" t="s">
        <v>142</v>
      </c>
      <c r="O9" s="213" t="s">
        <v>163</v>
      </c>
      <c r="P9" s="216">
        <v>35</v>
      </c>
      <c r="Q9" s="212" t="s">
        <v>194</v>
      </c>
    </row>
    <row r="10" spans="1:17" ht="35.25" customHeight="1">
      <c r="A10" s="26" t="s">
        <v>142</v>
      </c>
      <c r="B10" s="26" t="s">
        <v>145</v>
      </c>
      <c r="C10" s="26" t="s">
        <v>144</v>
      </c>
      <c r="D10" s="26">
        <v>0.5</v>
      </c>
      <c r="E10" s="26" t="s">
        <v>142</v>
      </c>
      <c r="F10" s="29" t="s">
        <v>153</v>
      </c>
      <c r="G10" s="26" t="s">
        <v>154</v>
      </c>
      <c r="H10" s="26" t="s">
        <v>217</v>
      </c>
      <c r="J10" s="212" t="s">
        <v>142</v>
      </c>
      <c r="K10" s="212" t="s">
        <v>145</v>
      </c>
      <c r="L10" s="212" t="s">
        <v>144</v>
      </c>
      <c r="M10" s="212">
        <v>0.5</v>
      </c>
      <c r="N10" s="212" t="s">
        <v>158</v>
      </c>
      <c r="O10" s="213" t="s">
        <v>153</v>
      </c>
      <c r="P10" s="216">
        <v>50</v>
      </c>
      <c r="Q10" s="212" t="s">
        <v>189</v>
      </c>
    </row>
    <row r="11" spans="1:17" ht="35.25" customHeight="1">
      <c r="A11" s="26" t="s">
        <v>142</v>
      </c>
      <c r="B11" s="26" t="s">
        <v>145</v>
      </c>
      <c r="C11" s="26" t="s">
        <v>144</v>
      </c>
      <c r="D11" s="27">
        <v>2</v>
      </c>
      <c r="E11" s="26" t="s">
        <v>160</v>
      </c>
      <c r="F11" s="29" t="s">
        <v>155</v>
      </c>
      <c r="G11" s="26" t="s">
        <v>156</v>
      </c>
      <c r="H11" s="26" t="s">
        <v>197</v>
      </c>
      <c r="J11" s="212" t="s">
        <v>142</v>
      </c>
      <c r="K11" s="212" t="s">
        <v>145</v>
      </c>
      <c r="L11" s="212" t="s">
        <v>144</v>
      </c>
      <c r="M11" s="212">
        <v>0.5</v>
      </c>
      <c r="N11" s="212" t="s">
        <v>142</v>
      </c>
      <c r="O11" s="213" t="s">
        <v>153</v>
      </c>
      <c r="P11" s="216">
        <v>180</v>
      </c>
      <c r="Q11" s="212" t="s">
        <v>195</v>
      </c>
    </row>
    <row r="12" spans="1:17" ht="35.25" customHeight="1">
      <c r="A12" s="26" t="s">
        <v>142</v>
      </c>
      <c r="B12" s="26" t="s">
        <v>188</v>
      </c>
      <c r="C12" s="26" t="s">
        <v>144</v>
      </c>
      <c r="D12" s="27">
        <v>0.4</v>
      </c>
      <c r="E12" s="26" t="s">
        <v>142</v>
      </c>
      <c r="F12" s="29" t="s">
        <v>185</v>
      </c>
      <c r="G12" s="26" t="s">
        <v>175</v>
      </c>
      <c r="H12" s="26" t="s">
        <v>198</v>
      </c>
      <c r="J12" s="212" t="s">
        <v>142</v>
      </c>
      <c r="K12" s="212" t="s">
        <v>145</v>
      </c>
      <c r="L12" s="212" t="s">
        <v>144</v>
      </c>
      <c r="M12" s="214">
        <v>2</v>
      </c>
      <c r="N12" s="212" t="s">
        <v>96</v>
      </c>
      <c r="O12" s="213" t="s">
        <v>155</v>
      </c>
      <c r="P12" s="216">
        <v>500</v>
      </c>
      <c r="Q12" s="212" t="s">
        <v>196</v>
      </c>
    </row>
    <row r="13" spans="1:17" ht="35.25" customHeight="1">
      <c r="A13" s="26" t="s">
        <v>142</v>
      </c>
      <c r="B13" s="26" t="s">
        <v>145</v>
      </c>
      <c r="C13" s="26" t="s">
        <v>144</v>
      </c>
      <c r="D13" s="27">
        <v>2</v>
      </c>
      <c r="E13" s="26" t="s">
        <v>161</v>
      </c>
      <c r="F13" s="29" t="s">
        <v>155</v>
      </c>
      <c r="G13" s="26" t="s">
        <v>157</v>
      </c>
      <c r="H13" s="26" t="s">
        <v>218</v>
      </c>
      <c r="J13" s="212"/>
      <c r="K13" s="212" t="s">
        <v>188</v>
      </c>
      <c r="L13" s="212" t="s">
        <v>144</v>
      </c>
      <c r="M13" s="214">
        <v>0.4</v>
      </c>
      <c r="N13" s="212" t="s">
        <v>142</v>
      </c>
      <c r="O13" s="213" t="s">
        <v>185</v>
      </c>
      <c r="P13" s="216">
        <v>520</v>
      </c>
      <c r="Q13" s="212" t="s">
        <v>191</v>
      </c>
    </row>
    <row r="14" spans="1:17" ht="35.25" customHeight="1">
      <c r="A14" s="26" t="s">
        <v>142</v>
      </c>
      <c r="B14" s="26" t="s">
        <v>188</v>
      </c>
      <c r="C14" s="26" t="s">
        <v>144</v>
      </c>
      <c r="D14" s="27">
        <v>2</v>
      </c>
      <c r="E14" s="26" t="s">
        <v>142</v>
      </c>
      <c r="F14" s="29" t="s">
        <v>185</v>
      </c>
      <c r="G14" s="26" t="s">
        <v>174</v>
      </c>
      <c r="H14" s="26" t="s">
        <v>198</v>
      </c>
      <c r="J14" s="212" t="s">
        <v>142</v>
      </c>
      <c r="K14" s="212" t="s">
        <v>145</v>
      </c>
      <c r="L14" s="212" t="s">
        <v>144</v>
      </c>
      <c r="M14" s="214">
        <v>2</v>
      </c>
      <c r="N14" s="212" t="s">
        <v>95</v>
      </c>
      <c r="O14" s="213" t="s">
        <v>155</v>
      </c>
      <c r="P14" s="216">
        <v>1000</v>
      </c>
      <c r="Q14" s="212" t="s">
        <v>197</v>
      </c>
    </row>
    <row r="15" spans="1:17" ht="35.25" customHeight="1">
      <c r="A15" s="26" t="s">
        <v>142</v>
      </c>
      <c r="B15" s="26" t="s">
        <v>188</v>
      </c>
      <c r="C15" s="26" t="s">
        <v>144</v>
      </c>
      <c r="D15" s="27">
        <v>2</v>
      </c>
      <c r="E15" s="26" t="s">
        <v>172</v>
      </c>
      <c r="F15" s="29" t="s">
        <v>186</v>
      </c>
      <c r="G15" s="26" t="s">
        <v>187</v>
      </c>
      <c r="H15" s="26" t="s">
        <v>219</v>
      </c>
      <c r="J15" s="212" t="s">
        <v>142</v>
      </c>
      <c r="K15" s="212" t="s">
        <v>188</v>
      </c>
      <c r="L15" s="212" t="s">
        <v>144</v>
      </c>
      <c r="M15" s="214">
        <v>2</v>
      </c>
      <c r="N15" s="212" t="s">
        <v>142</v>
      </c>
      <c r="O15" s="213" t="s">
        <v>185</v>
      </c>
      <c r="P15" s="216">
        <v>4000</v>
      </c>
      <c r="Q15" s="212" t="s">
        <v>191</v>
      </c>
    </row>
    <row r="16" spans="1:17" ht="35.25" customHeight="1">
      <c r="A16" s="26" t="s">
        <v>142</v>
      </c>
      <c r="B16" s="253" t="s">
        <v>237</v>
      </c>
      <c r="C16" s="253" t="s">
        <v>144</v>
      </c>
      <c r="D16" s="254">
        <v>5</v>
      </c>
      <c r="E16" s="253" t="s">
        <v>229</v>
      </c>
      <c r="F16" s="255" t="s">
        <v>238</v>
      </c>
      <c r="G16" s="253" t="s">
        <v>239</v>
      </c>
      <c r="H16" s="253" t="s">
        <v>195</v>
      </c>
      <c r="J16" s="212" t="s">
        <v>142</v>
      </c>
      <c r="K16" s="212" t="s">
        <v>188</v>
      </c>
      <c r="L16" s="212" t="s">
        <v>144</v>
      </c>
      <c r="M16" s="214">
        <v>2</v>
      </c>
      <c r="N16" s="212" t="s">
        <v>201</v>
      </c>
      <c r="O16" s="213" t="s">
        <v>202</v>
      </c>
      <c r="P16" s="216">
        <v>3600</v>
      </c>
      <c r="Q16" s="212" t="s">
        <v>204</v>
      </c>
    </row>
    <row r="17" spans="10:17" ht="35.25" customHeight="1">
      <c r="J17" s="212" t="s">
        <v>142</v>
      </c>
      <c r="K17" s="212" t="s">
        <v>188</v>
      </c>
      <c r="L17" s="212" t="s">
        <v>144</v>
      </c>
      <c r="M17" s="214">
        <v>3</v>
      </c>
      <c r="N17" s="212" t="s">
        <v>142</v>
      </c>
      <c r="O17" s="213" t="s">
        <v>203</v>
      </c>
      <c r="P17" s="216">
        <v>3000</v>
      </c>
      <c r="Q17" s="212" t="s">
        <v>205</v>
      </c>
    </row>
    <row r="18" spans="10:17" ht="35.25" customHeight="1">
      <c r="J18" s="212" t="s">
        <v>142</v>
      </c>
      <c r="K18" s="212" t="s">
        <v>188</v>
      </c>
      <c r="L18" s="212" t="s">
        <v>144</v>
      </c>
      <c r="M18" s="214">
        <v>2</v>
      </c>
      <c r="N18" s="212" t="s">
        <v>172</v>
      </c>
      <c r="O18" s="213" t="s">
        <v>186</v>
      </c>
      <c r="P18" s="216">
        <v>700</v>
      </c>
      <c r="Q18" s="212" t="s">
        <v>198</v>
      </c>
    </row>
  </sheetData>
  <mergeCells count="21">
    <mergeCell ref="O3:O4"/>
    <mergeCell ref="G3:G4"/>
    <mergeCell ref="E3:E4"/>
    <mergeCell ref="B2:B4"/>
    <mergeCell ref="D2:H2"/>
    <mergeCell ref="J5:L5"/>
    <mergeCell ref="F3:F4"/>
    <mergeCell ref="H3:H4"/>
    <mergeCell ref="J1:Q1"/>
    <mergeCell ref="J2:J4"/>
    <mergeCell ref="K2:K4"/>
    <mergeCell ref="L2:L4"/>
    <mergeCell ref="M2:Q2"/>
    <mergeCell ref="N3:N4"/>
    <mergeCell ref="A1:H1"/>
    <mergeCell ref="Q3:Q4"/>
    <mergeCell ref="P3:P4"/>
    <mergeCell ref="M3:M4"/>
    <mergeCell ref="D3:D4"/>
    <mergeCell ref="A2:A4"/>
    <mergeCell ref="C2:C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16"/>
  <sheetViews>
    <sheetView workbookViewId="0">
      <selection activeCell="D26" sqref="D26"/>
    </sheetView>
  </sheetViews>
  <sheetFormatPr defaultRowHeight="13.5"/>
  <cols>
    <col min="1" max="1" width="22.109375" bestFit="1" customWidth="1"/>
    <col min="2" max="2" width="27.77734375" bestFit="1" customWidth="1"/>
    <col min="4" max="4" width="57" bestFit="1" customWidth="1"/>
  </cols>
  <sheetData>
    <row r="1" spans="1:4">
      <c r="A1" s="455" t="s">
        <v>240</v>
      </c>
      <c r="B1" s="456"/>
      <c r="C1" s="456"/>
      <c r="D1" s="457"/>
    </row>
    <row r="2" spans="1:4">
      <c r="A2" s="458"/>
      <c r="B2" s="459"/>
      <c r="C2" s="459"/>
      <c r="D2" s="460"/>
    </row>
    <row r="3" spans="1:4">
      <c r="A3" s="461"/>
      <c r="B3" s="462"/>
      <c r="C3" s="462"/>
      <c r="D3" s="463"/>
    </row>
    <row r="4" spans="1:4" ht="24" customHeight="1" thickBot="1">
      <c r="A4" s="263" t="s">
        <v>241</v>
      </c>
      <c r="B4" s="264" t="s">
        <v>242</v>
      </c>
      <c r="C4" s="264" t="s">
        <v>243</v>
      </c>
      <c r="D4" s="265" t="s">
        <v>244</v>
      </c>
    </row>
    <row r="5" spans="1:4" ht="20.100000000000001" customHeight="1" thickTop="1">
      <c r="A5" s="256" t="s">
        <v>263</v>
      </c>
      <c r="B5" s="230" t="s">
        <v>245</v>
      </c>
      <c r="C5" s="257">
        <v>0.184</v>
      </c>
      <c r="D5" s="258" t="s">
        <v>252</v>
      </c>
    </row>
    <row r="6" spans="1:4" ht="20.100000000000001" customHeight="1">
      <c r="A6" s="256" t="s">
        <v>262</v>
      </c>
      <c r="B6" s="230" t="s">
        <v>246</v>
      </c>
      <c r="C6" s="257">
        <v>5.8599999999999999E-2</v>
      </c>
      <c r="D6" s="258" t="s">
        <v>254</v>
      </c>
    </row>
    <row r="7" spans="1:4" ht="20.100000000000001" customHeight="1">
      <c r="A7" s="256" t="s">
        <v>261</v>
      </c>
      <c r="B7" s="230" t="s">
        <v>246</v>
      </c>
      <c r="C7" s="257">
        <v>1.15E-2</v>
      </c>
      <c r="D7" s="258" t="s">
        <v>253</v>
      </c>
    </row>
    <row r="8" spans="1:4" ht="20.100000000000001" customHeight="1">
      <c r="A8" s="256" t="s">
        <v>260</v>
      </c>
      <c r="B8" s="230" t="s">
        <v>245</v>
      </c>
      <c r="C8" s="257">
        <v>3.5999999999999997E-2</v>
      </c>
      <c r="D8" s="258" t="s">
        <v>252</v>
      </c>
    </row>
    <row r="9" spans="1:4" ht="20.100000000000001" customHeight="1">
      <c r="A9" s="256" t="s">
        <v>264</v>
      </c>
      <c r="B9" s="230" t="s">
        <v>245</v>
      </c>
      <c r="C9" s="257">
        <v>4.7500000000000001E-2</v>
      </c>
      <c r="D9" s="258" t="s">
        <v>252</v>
      </c>
    </row>
    <row r="10" spans="1:4" ht="20.100000000000001" customHeight="1">
      <c r="A10" s="256" t="s">
        <v>256</v>
      </c>
      <c r="B10" s="230" t="s">
        <v>247</v>
      </c>
      <c r="C10" s="257">
        <v>2.07E-2</v>
      </c>
      <c r="D10" s="258" t="s">
        <v>252</v>
      </c>
    </row>
    <row r="11" spans="1:4" ht="20.100000000000001" customHeight="1">
      <c r="A11" s="256" t="s">
        <v>267</v>
      </c>
      <c r="B11" s="230" t="s">
        <v>246</v>
      </c>
      <c r="C11" s="270">
        <v>6.0000000000000002E-5</v>
      </c>
      <c r="D11" s="258" t="s">
        <v>252</v>
      </c>
    </row>
    <row r="12" spans="1:4" ht="20.100000000000001" customHeight="1">
      <c r="A12" s="256" t="s">
        <v>268</v>
      </c>
      <c r="B12" s="230" t="s">
        <v>246</v>
      </c>
      <c r="C12" s="257">
        <v>8.9999999999999998E-4</v>
      </c>
      <c r="D12" s="258" t="s">
        <v>252</v>
      </c>
    </row>
    <row r="13" spans="1:4" ht="20.100000000000001" customHeight="1">
      <c r="A13" s="256" t="s">
        <v>257</v>
      </c>
      <c r="B13" s="230" t="s">
        <v>248</v>
      </c>
      <c r="C13" s="257">
        <v>0.13139999999999999</v>
      </c>
      <c r="D13" s="258" t="s">
        <v>252</v>
      </c>
    </row>
    <row r="14" spans="1:4" ht="20.100000000000001" customHeight="1">
      <c r="A14" s="256" t="s">
        <v>29</v>
      </c>
      <c r="B14" s="230" t="s">
        <v>249</v>
      </c>
      <c r="C14" s="257">
        <v>0.08</v>
      </c>
      <c r="D14" s="258" t="s">
        <v>252</v>
      </c>
    </row>
    <row r="15" spans="1:4" ht="20.100000000000001" customHeight="1">
      <c r="A15" s="256" t="s">
        <v>258</v>
      </c>
      <c r="B15" s="230" t="s">
        <v>250</v>
      </c>
      <c r="C15" s="257">
        <v>0.15</v>
      </c>
      <c r="D15" s="258" t="s">
        <v>252</v>
      </c>
    </row>
    <row r="16" spans="1:4" ht="20.100000000000001" customHeight="1" thickBot="1">
      <c r="A16" s="259" t="s">
        <v>259</v>
      </c>
      <c r="B16" s="260" t="s">
        <v>251</v>
      </c>
      <c r="C16" s="261">
        <v>0.1</v>
      </c>
      <c r="D16" s="262" t="s">
        <v>255</v>
      </c>
    </row>
  </sheetData>
  <mergeCells count="1">
    <mergeCell ref="A1:D3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127"/>
  <sheetViews>
    <sheetView view="pageBreakPreview" topLeftCell="A2" zoomScale="85" zoomScaleNormal="100" zoomScaleSheetLayoutView="85" workbookViewId="0">
      <selection activeCell="G66" sqref="G66"/>
    </sheetView>
  </sheetViews>
  <sheetFormatPr defaultRowHeight="13.5"/>
  <cols>
    <col min="1" max="3" width="34.6640625" customWidth="1"/>
    <col min="4" max="4" width="16.21875" customWidth="1"/>
    <col min="5" max="5" width="24.21875" customWidth="1"/>
    <col min="6" max="11" width="34.6640625" customWidth="1"/>
    <col min="12" max="22" width="1.44140625" customWidth="1"/>
  </cols>
  <sheetData>
    <row r="1" spans="1:10" s="228" customFormat="1" ht="6" hidden="1" customHeight="1"/>
    <row r="2" spans="1:10" s="229" customFormat="1" ht="62.25" customHeight="1"/>
    <row r="3" spans="1:10" ht="8.65" customHeight="1">
      <c r="A3" s="230"/>
      <c r="B3" s="230"/>
      <c r="C3" s="230"/>
      <c r="D3" s="230"/>
      <c r="E3" s="230"/>
      <c r="F3" s="230"/>
      <c r="G3" s="230"/>
      <c r="H3" s="230"/>
      <c r="I3" s="230"/>
      <c r="J3" s="230"/>
    </row>
    <row r="4" spans="1:10" ht="8.65" customHeight="1">
      <c r="A4" s="230"/>
      <c r="B4" s="230"/>
      <c r="C4" s="230"/>
      <c r="D4" s="230"/>
      <c r="E4" s="230"/>
      <c r="F4" s="230"/>
      <c r="G4" s="230"/>
      <c r="H4" s="230"/>
      <c r="I4" s="230"/>
      <c r="J4" s="230"/>
    </row>
    <row r="5" spans="1:10" ht="8.65" customHeight="1">
      <c r="A5" s="230"/>
      <c r="B5" s="230"/>
      <c r="C5" s="230"/>
      <c r="D5" s="230"/>
      <c r="E5" s="230"/>
      <c r="F5" s="230"/>
      <c r="G5" s="230"/>
      <c r="H5" s="230"/>
      <c r="I5" s="230"/>
      <c r="J5" s="230"/>
    </row>
    <row r="6" spans="1:10" ht="8.65" customHeight="1">
      <c r="A6" s="230"/>
      <c r="B6" s="230"/>
      <c r="C6" s="230"/>
      <c r="D6" s="230"/>
      <c r="E6" s="230"/>
      <c r="F6" s="230"/>
      <c r="G6" s="230"/>
      <c r="H6" s="230"/>
      <c r="I6" s="230"/>
      <c r="J6" s="230"/>
    </row>
    <row r="7" spans="1:10" ht="8.65" customHeight="1"/>
    <row r="8" spans="1:10" ht="8.65" customHeight="1"/>
    <row r="9" spans="1:10" ht="8.65" customHeight="1"/>
    <row r="10" spans="1:10" ht="8.65" customHeight="1"/>
    <row r="11" spans="1:10" ht="8.65" customHeight="1"/>
    <row r="12" spans="1:10" ht="8.65" customHeight="1"/>
    <row r="13" spans="1:10" ht="8.65" customHeight="1"/>
    <row r="14" spans="1:10" ht="8.65" customHeight="1"/>
    <row r="15" spans="1:10" ht="8.65" customHeight="1"/>
    <row r="16" spans="1:10" ht="8.65" customHeight="1"/>
    <row r="17" ht="8.65" customHeight="1"/>
    <row r="18" ht="8.65" customHeight="1"/>
    <row r="19" ht="8.65" customHeight="1"/>
    <row r="20" ht="8.65" customHeight="1"/>
    <row r="21" ht="8.65" customHeight="1"/>
    <row r="22" ht="8.65" customHeight="1"/>
    <row r="23" ht="8.65" customHeight="1"/>
    <row r="24" ht="8.65" customHeight="1"/>
    <row r="25" ht="8.65" customHeight="1"/>
    <row r="26" ht="8.65" customHeight="1"/>
    <row r="27" ht="8.65" customHeight="1"/>
    <row r="28" ht="8.65" customHeight="1"/>
    <row r="29" ht="8.65" customHeight="1"/>
    <row r="30" ht="8.65" customHeight="1"/>
    <row r="31" ht="8.65" customHeight="1"/>
    <row r="32" ht="8.65" customHeight="1"/>
    <row r="33" ht="8.65" customHeight="1"/>
    <row r="34" ht="8.65" customHeight="1"/>
    <row r="35" ht="8.65" customHeight="1"/>
    <row r="36" ht="8.65" customHeight="1"/>
    <row r="37" ht="8.65" customHeight="1"/>
    <row r="38" ht="8.65" customHeight="1"/>
    <row r="39" ht="8.65" customHeight="1"/>
    <row r="40" ht="8.65" customHeight="1"/>
    <row r="41" ht="8.65" customHeight="1"/>
    <row r="42" ht="8.65" customHeight="1"/>
    <row r="43" ht="8.65" customHeight="1"/>
    <row r="44" ht="8.65" customHeight="1"/>
    <row r="45" ht="8.65" customHeight="1"/>
    <row r="46" ht="8.65" customHeight="1"/>
    <row r="47" ht="8.65" customHeight="1"/>
    <row r="48" ht="8.65" customHeight="1"/>
    <row r="49" ht="8.65" customHeight="1"/>
    <row r="50" ht="8.65" customHeight="1"/>
    <row r="51" ht="8.65" customHeight="1"/>
    <row r="52" ht="8.65" customHeight="1"/>
    <row r="53" ht="8.65" customHeight="1"/>
    <row r="54" ht="8.65" customHeight="1"/>
    <row r="55" ht="8.65" customHeight="1"/>
    <row r="56" ht="8.65" customHeight="1"/>
    <row r="57" ht="8.65" customHeight="1"/>
    <row r="58" ht="8.65" customHeight="1"/>
    <row r="59" ht="8.65" customHeight="1"/>
    <row r="60" ht="8.65" customHeight="1"/>
    <row r="61" ht="8.65" customHeight="1"/>
    <row r="62" ht="8.65" customHeight="1"/>
    <row r="63" ht="8.65" customHeight="1"/>
    <row r="64" ht="8.65" customHeight="1"/>
    <row r="65" ht="8.65" customHeight="1"/>
    <row r="66" ht="8.65" customHeight="1"/>
    <row r="67" ht="8.65" customHeight="1"/>
    <row r="68" ht="8.65" customHeight="1"/>
    <row r="69" ht="8.65" customHeight="1"/>
    <row r="70" ht="8.65" customHeight="1"/>
    <row r="71" ht="8.65" customHeight="1"/>
    <row r="72" ht="8.65" customHeight="1"/>
    <row r="73" ht="8.65" customHeight="1"/>
    <row r="74" ht="8.65" customHeight="1"/>
    <row r="75" ht="8.65" customHeight="1"/>
    <row r="76" ht="8.65" customHeight="1"/>
    <row r="77" ht="8.65" customHeight="1"/>
    <row r="78" ht="8.65" customHeight="1"/>
    <row r="79" ht="8.65" customHeight="1"/>
    <row r="80" ht="8.65" customHeight="1"/>
    <row r="81" ht="8.65" customHeight="1"/>
    <row r="82" ht="8.65" customHeight="1"/>
    <row r="83" ht="8.65" customHeight="1"/>
    <row r="84" ht="8.65" customHeight="1"/>
    <row r="85" ht="8.65" customHeight="1"/>
    <row r="86" ht="8.65" customHeight="1"/>
    <row r="87" ht="8.65" customHeight="1"/>
    <row r="88" ht="8.65" customHeight="1"/>
    <row r="89" ht="8.65" customHeight="1"/>
    <row r="90" ht="8.65" customHeight="1"/>
    <row r="91" ht="8.65" customHeight="1"/>
    <row r="92" ht="8.65" customHeight="1"/>
    <row r="93" ht="8.65" customHeight="1"/>
    <row r="94" ht="8.65" customHeight="1"/>
    <row r="95" ht="8.65" customHeight="1"/>
    <row r="96" ht="8.65" customHeight="1"/>
    <row r="97" ht="8.65" customHeight="1"/>
    <row r="98" ht="8.65" customHeight="1"/>
    <row r="99" ht="8.65" customHeight="1"/>
    <row r="100" ht="8.65" customHeight="1"/>
    <row r="101" ht="8.65" customHeight="1"/>
    <row r="102" ht="8.65" customHeight="1"/>
    <row r="103" ht="8.65" customHeight="1"/>
    <row r="104" ht="8.65" customHeight="1"/>
    <row r="105" ht="8.65" customHeight="1"/>
    <row r="106" ht="8.65" customHeight="1"/>
    <row r="107" ht="8.65" customHeight="1"/>
    <row r="108" ht="8.65" customHeight="1"/>
    <row r="109" ht="8.65" customHeight="1"/>
    <row r="110" ht="8.85" customHeight="1"/>
    <row r="111" ht="8.85" customHeight="1"/>
    <row r="112" ht="8.85" customHeight="1"/>
    <row r="113" ht="8.85" customHeight="1"/>
    <row r="114" ht="8.85" customHeight="1"/>
    <row r="115" ht="8.85" customHeight="1"/>
    <row r="116" ht="8.85" customHeight="1"/>
    <row r="117" ht="8.85" customHeight="1"/>
    <row r="118" ht="8.85" customHeight="1"/>
    <row r="119" ht="8.85" customHeight="1"/>
    <row r="120" ht="8.85" customHeight="1"/>
    <row r="121" ht="8.85" customHeight="1"/>
    <row r="122" ht="8.85" customHeight="1"/>
    <row r="123" ht="8.85" customHeight="1"/>
    <row r="124" ht="8.85" customHeight="1"/>
    <row r="125" ht="8.85" customHeight="1"/>
    <row r="126" ht="8.85" customHeight="1"/>
    <row r="127" ht="8.85" customHeight="1"/>
  </sheetData>
  <phoneticPr fontId="2" type="noConversion"/>
  <pageMargins left="0.7" right="0.7" top="0.75" bottom="0.75" header="0.3" footer="0.3"/>
  <pageSetup paperSize="9" scale="31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11</vt:i4>
      </vt:variant>
    </vt:vector>
  </HeadingPairs>
  <TitlesOfParts>
    <vt:vector size="25" baseType="lpstr">
      <vt:lpstr>표지</vt:lpstr>
      <vt:lpstr>설명서</vt:lpstr>
      <vt:lpstr>예정공정표</vt:lpstr>
      <vt:lpstr>원가계산서</vt:lpstr>
      <vt:lpstr>설계내역서</vt:lpstr>
      <vt:lpstr>단위환산</vt:lpstr>
      <vt:lpstr>단가산출서(물푸레)</vt:lpstr>
      <vt:lpstr>단가산출서(자작)</vt:lpstr>
      <vt:lpstr>단가산출서(백합)</vt:lpstr>
      <vt:lpstr>단가산출서(상수리,루브라)</vt:lpstr>
      <vt:lpstr>단가산출서(쉬나무)</vt:lpstr>
      <vt:lpstr>대상지조서</vt:lpstr>
      <vt:lpstr>원가법정요율 적용기준</vt:lpstr>
      <vt:lpstr>(참고)조경공사 제비율 적용기준</vt:lpstr>
      <vt:lpstr>'(참고)조경공사 제비율 적용기준'!Print_Area</vt:lpstr>
      <vt:lpstr>'단가산출서(물푸레)'!Print_Area</vt:lpstr>
      <vt:lpstr>'단가산출서(백합)'!Print_Area</vt:lpstr>
      <vt:lpstr>'단가산출서(상수리,루브라)'!Print_Area</vt:lpstr>
      <vt:lpstr>'단가산출서(쉬나무)'!Print_Area</vt:lpstr>
      <vt:lpstr>'단가산출서(자작)'!Print_Area</vt:lpstr>
      <vt:lpstr>단위환산!Print_Area</vt:lpstr>
      <vt:lpstr>설계내역서!Print_Area</vt:lpstr>
      <vt:lpstr>원가계산서!Print_Area</vt:lpstr>
      <vt:lpstr>단위환산!Print_Titles</vt:lpstr>
      <vt:lpstr>설계내역서!Print_Titles</vt:lpstr>
    </vt:vector>
  </TitlesOfParts>
  <Company>산림조합충남도지회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김도권</dc:creator>
  <cp:lastModifiedBy>user</cp:lastModifiedBy>
  <cp:lastPrinted>2016-09-29T01:18:58Z</cp:lastPrinted>
  <dcterms:created xsi:type="dcterms:W3CDTF">2005-01-26T02:07:37Z</dcterms:created>
  <dcterms:modified xsi:type="dcterms:W3CDTF">2026-09-15T08:21:16Z</dcterms:modified>
</cp:coreProperties>
</file>