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할일\8. 26년 2분기 통계\1. 사전정보공표\"/>
    </mc:Choice>
  </mc:AlternateContent>
  <xr:revisionPtr revIDLastSave="0" documentId="13_ncr:1_{0594A148-1905-45D0-AD7D-CF39915ED0C1}" xr6:coauthVersionLast="47" xr6:coauthVersionMax="47" xr10:uidLastSave="{00000000-0000-0000-0000-000000000000}"/>
  <bookViews>
    <workbookView xWindow="28680" yWindow="-120" windowWidth="29040" windowHeight="15720" tabRatio="942" activeTab="1" xr2:uid="{00000000-000D-0000-FFFF-FFFF00000000}"/>
  </bookViews>
  <sheets>
    <sheet name="총괄표" sheetId="2" r:id="rId1"/>
    <sheet name="일반정비구역" sheetId="1" r:id="rId2"/>
    <sheet name="Sheet2" sheetId="11" state="hidden" r:id="rId3"/>
    <sheet name="Sheet3" sheetId="12" state="hidden" r:id="rId4"/>
    <sheet name="Sheet4" sheetId="13" state="hidden" r:id="rId5"/>
  </sheets>
  <definedNames>
    <definedName name="_xlnm._FilterDatabase" localSheetId="2" hidden="1">Sheet2!$A$2:$J$43</definedName>
    <definedName name="_xlnm._FilterDatabase" localSheetId="1" hidden="1">일반정비구역!$A$5:$BH$547</definedName>
    <definedName name="n관리처분인가">#REF!</definedName>
    <definedName name="n구역면적">#REF!</definedName>
    <definedName name="n국비지원">#REF!</definedName>
    <definedName name="n기본계획수립">#REF!</definedName>
    <definedName name="n기존용적률">#REF!</definedName>
    <definedName name="n기존주택135">#REF!</definedName>
    <definedName name="n기존주택40">#REF!</definedName>
    <definedName name="n기존주택60">#REF!</definedName>
    <definedName name="n기존주택85">#REF!</definedName>
    <definedName name="n기존주택계">#REF!</definedName>
    <definedName name="n기존주택동수">#REF!</definedName>
    <definedName name="n기존주택준공연도">#REF!</definedName>
    <definedName name="n기존주택초과">#REF!</definedName>
    <definedName name="n담당자">#REF!</definedName>
    <definedName name="n비고">#REF!</definedName>
    <definedName name="n사업단계">#REF!</definedName>
    <definedName name="n사업시작">#REF!</definedName>
    <definedName name="n사업시행인가">#REF!</definedName>
    <definedName name="n사업완료">#REF!</definedName>
    <definedName name="n사업유형">#REF!</definedName>
    <definedName name="n시군">#REF!</definedName>
    <definedName name="n시도">#REF!</definedName>
    <definedName name="n시행방법">#REF!</definedName>
    <definedName name="n시행자">#REF!</definedName>
    <definedName name="n신축분양135">#REF!</definedName>
    <definedName name="n신축분양40">#REF!</definedName>
    <definedName name="n신축분양60">#REF!</definedName>
    <definedName name="n신축분양85">#REF!</definedName>
    <definedName name="n신축분양계">#REF!</definedName>
    <definedName name="n신축분양초과">#REF!</definedName>
    <definedName name="n신축용적률">#REF!</definedName>
    <definedName name="n신축임대40">#REF!</definedName>
    <definedName name="n신축임대60">#REF!</definedName>
    <definedName name="n신축임대85">#REF!</definedName>
    <definedName name="n신축임대계">#REF!</definedName>
    <definedName name="n안전진단">#REF!</definedName>
    <definedName name="n연번">#REF!</definedName>
    <definedName name="n예비평가">#REF!</definedName>
    <definedName name="n위치">#REF!</definedName>
    <definedName name="n이전고시">#REF!</definedName>
    <definedName name="n일몰경가">#REF!</definedName>
    <definedName name="n일몰미도래">#REF!</definedName>
    <definedName name="n일몰제기한일">#REF!</definedName>
    <definedName name="n일반분양">#REF!</definedName>
    <definedName name="n적용제외">#REF!</definedName>
    <definedName name="n전체연번">#REF!</definedName>
    <definedName name="n정비계획수립">#REF!</definedName>
    <definedName name="n정비구역명">#REF!</definedName>
    <definedName name="n정비구역변경지정">#REF!</definedName>
    <definedName name="n정비구역지정예정">#REF!</definedName>
    <definedName name="n정비구역최초지정">#REF!</definedName>
    <definedName name="n조합설립인가">#REF!</definedName>
    <definedName name="n조합원">#REF!</definedName>
    <definedName name="n준공">#REF!</definedName>
    <definedName name="n착공">#REF!</definedName>
    <definedName name="n추진위승인">#REF!</definedName>
    <definedName name="n토지등소유자">#REF!</definedName>
    <definedName name="n현재단계기간">#REF!</definedName>
    <definedName name="n현재상황">#REF!</definedName>
    <definedName name="_xlnm.Print_Area" localSheetId="1">일반정비구역!$A$1:$BE$432</definedName>
    <definedName name="_xlnm.Print_Area" localSheetId="0">총괄표!$A$1:$BU$35</definedName>
    <definedName name="관리처분인가">일반정비구역!$BA$6:$BA$547</definedName>
    <definedName name="구역면적">일반정비구역!$G$6:$G$547</definedName>
    <definedName name="국비지원">일반정비구역!#REF!</definedName>
    <definedName name="기본계획수립">일반정비구역!$AM$6:$AM$547</definedName>
    <definedName name="기존용적률">일반정비구역!$AF$6:$AF$547</definedName>
    <definedName name="기존주택135">일반정비구역!$N$6:$N$547</definedName>
    <definedName name="기존주택40">일반정비구역!$K$6:$K$547</definedName>
    <definedName name="기존주택60">일반정비구역!$L$6:$L$547</definedName>
    <definedName name="기존주택85">일반정비구역!$M$6:$M$547</definedName>
    <definedName name="기존주택계">일반정비구역!$J$6:$J$547</definedName>
    <definedName name="기존주택동수">일반정비구역!$I$6:$I$547</definedName>
    <definedName name="기존주택준공연도">일반정비구역!$H$6:$H$547</definedName>
    <definedName name="기존주택초과">일반정비구역!$O$6:$O$547</definedName>
    <definedName name="담당자">일반정비구역!$BH$6:$BH$547</definedName>
    <definedName name="비고">일반정비구역!#REF!</definedName>
    <definedName name="사업단계">일반정비구역!$C$6:$C$547</definedName>
    <definedName name="사업시작">일반정비구역!$AK$6:$AK$547</definedName>
    <definedName name="사업시행인가">일반정비구역!$AZ$6:$AZ$547</definedName>
    <definedName name="사업완료">일반정비구역!$AL$6:$AL$547</definedName>
    <definedName name="사업유형">일반정비구역!$D$6:$D$547</definedName>
    <definedName name="시군">일반정비구역!$B$6:$B$547</definedName>
    <definedName name="시행방법">일반정비구역!#REF!</definedName>
    <definedName name="시행자">일반정비구역!$AJ$6:$AJ$547</definedName>
    <definedName name="신축분양135">일반정비구역!$Y$6:$Y$547</definedName>
    <definedName name="신축분양40">일반정비구역!$V$6:$V$547</definedName>
    <definedName name="신축분양60">일반정비구역!$W$6:$W$547</definedName>
    <definedName name="신축분양85">일반정비구역!$X$6:$X$547</definedName>
    <definedName name="신축분양계">일반정비구역!$U$6:$U$547</definedName>
    <definedName name="신축분양초과">일반정비구역!$Z$6:$Z$547</definedName>
    <definedName name="신축세대수">일반정비구역!$T$6:$T$547</definedName>
    <definedName name="신축용적률">일반정비구역!$AG$6:$AG$547</definedName>
    <definedName name="신축임대40">일반정비구역!$AB$6:$AB$547</definedName>
    <definedName name="신축임대60">일반정비구역!$AC$6:$AC$547</definedName>
    <definedName name="신축임대85">일반정비구역!$AD$6:$AD$547</definedName>
    <definedName name="신축임대계">일반정비구역!$AA$6:$AA$547</definedName>
    <definedName name="안전진단">일반정비구역!$AU$6:$AU$547</definedName>
    <definedName name="연번">일반정비구역!#REF!</definedName>
    <definedName name="예비평가">일반정비구역!$AS$6:$AS$547</definedName>
    <definedName name="위치">일반정비구역!$F$6:$F$547</definedName>
    <definedName name="이전고시">일반정비구역!$BE$6:$BE$547</definedName>
    <definedName name="일몰경과">일반정비구역!#REF!</definedName>
    <definedName name="일몰미도래">일반정비구역!#REF!</definedName>
    <definedName name="일몰제기한일">일반정비구역!#REF!</definedName>
    <definedName name="일반분양">일반정비구역!$BC$6:$BC$547</definedName>
    <definedName name="적용제외">일반정비구역!#REF!</definedName>
    <definedName name="정비계획수립">일반정비구역!$AO$6:$AO$547</definedName>
    <definedName name="정비구역명">일반정비구역!$E$6:$E$547</definedName>
    <definedName name="정비구역변경지정">일반정비구역!$AQ$6:$AQ$547</definedName>
    <definedName name="정비구역지정예정">일반정비구역!$AN$6:$AN$547</definedName>
    <definedName name="정비구역최초지정">일반정비구역!$AP$6:$AP$547</definedName>
    <definedName name="조합설립인가">일반정비구역!$AY$6:$AY$547</definedName>
    <definedName name="조합원">일반정비구역!$AI$6:$AI$547</definedName>
    <definedName name="준공">일반정비구역!$BD$6:$BD$547</definedName>
    <definedName name="준공예정일">일반정비구역!#REF!</definedName>
    <definedName name="증가물량">일반정비구역!$AE$6:$AE$547</definedName>
    <definedName name="착공">일반정비구역!$BB$6:$BB$547</definedName>
    <definedName name="착공예정일">일반정비구역!#REF!</definedName>
    <definedName name="추진위승인">일반정비구역!$AR$6:$AR$547</definedName>
    <definedName name="토지등소유자">일반정비구역!$AH$6:$AH$547</definedName>
    <definedName name="현재단계기간">일반정비구역!#REF!</definedName>
    <definedName name="현재상황">일반정비구역!#REF!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56" i="1" l="1"/>
  <c r="J156" i="1"/>
  <c r="T155" i="1"/>
  <c r="J155" i="1"/>
  <c r="T154" i="1"/>
  <c r="J154" i="1"/>
  <c r="T153" i="1"/>
  <c r="J153" i="1"/>
  <c r="U152" i="1"/>
  <c r="T152" i="1" s="1"/>
  <c r="P152" i="1"/>
  <c r="J152" i="1"/>
  <c r="U151" i="1"/>
  <c r="T151" i="1" s="1"/>
  <c r="AE151" i="1" s="1"/>
  <c r="P151" i="1"/>
  <c r="J151" i="1"/>
  <c r="U150" i="1"/>
  <c r="T150" i="1" s="1"/>
  <c r="P150" i="1"/>
  <c r="J150" i="1"/>
  <c r="T149" i="1"/>
  <c r="J149" i="1"/>
  <c r="T148" i="1"/>
  <c r="J148" i="1"/>
  <c r="T147" i="1"/>
  <c r="J147" i="1"/>
  <c r="AA146" i="1"/>
  <c r="U146" i="1"/>
  <c r="P146" i="1"/>
  <c r="J146" i="1"/>
  <c r="T145" i="1"/>
  <c r="J145" i="1"/>
  <c r="T144" i="1"/>
  <c r="J144" i="1"/>
  <c r="T143" i="1"/>
  <c r="J143" i="1"/>
  <c r="AA142" i="1"/>
  <c r="U142" i="1"/>
  <c r="T142" i="1"/>
  <c r="AE142" i="1" s="1"/>
  <c r="P142" i="1"/>
  <c r="J142" i="1"/>
  <c r="T141" i="1"/>
  <c r="AE141" i="1" s="1"/>
  <c r="T140" i="1"/>
  <c r="AE140" i="1" s="1"/>
  <c r="T139" i="1"/>
  <c r="AE139" i="1" s="1"/>
  <c r="T138" i="1"/>
  <c r="J138" i="1"/>
  <c r="T137" i="1"/>
  <c r="AE137" i="1" s="1"/>
  <c r="T136" i="1"/>
  <c r="AE136" i="1" s="1"/>
  <c r="T135" i="1"/>
  <c r="AE135" i="1" s="1"/>
  <c r="T134" i="1"/>
  <c r="AE134" i="1" s="1"/>
  <c r="T133" i="1"/>
  <c r="AE133" i="1" s="1"/>
  <c r="T132" i="1"/>
  <c r="AE132" i="1" s="1"/>
  <c r="T131" i="1"/>
  <c r="AE131" i="1" s="1"/>
  <c r="T130" i="1"/>
  <c r="AE130" i="1" s="1"/>
  <c r="T129" i="1"/>
  <c r="AE129" i="1" s="1"/>
  <c r="T128" i="1"/>
  <c r="AE128" i="1" s="1"/>
  <c r="T127" i="1"/>
  <c r="AE127" i="1" s="1"/>
  <c r="T126" i="1"/>
  <c r="AE126" i="1" s="1"/>
  <c r="T125" i="1"/>
  <c r="AE125" i="1" s="1"/>
  <c r="T124" i="1"/>
  <c r="AE124" i="1" s="1"/>
  <c r="T123" i="1"/>
  <c r="AE123" i="1" s="1"/>
  <c r="T122" i="1"/>
  <c r="AE122" i="1" s="1"/>
  <c r="T121" i="1"/>
  <c r="AE121" i="1" s="1"/>
  <c r="T120" i="1"/>
  <c r="AE120" i="1" s="1"/>
  <c r="T119" i="1"/>
  <c r="AE119" i="1" s="1"/>
  <c r="T118" i="1"/>
  <c r="AE118" i="1" s="1"/>
  <c r="T117" i="1"/>
  <c r="AE117" i="1" s="1"/>
  <c r="T116" i="1"/>
  <c r="AE116" i="1" s="1"/>
  <c r="T115" i="1"/>
  <c r="AE115" i="1" s="1"/>
  <c r="T114" i="1"/>
  <c r="AE114" i="1" s="1"/>
  <c r="T113" i="1"/>
  <c r="AE113" i="1" s="1"/>
  <c r="T112" i="1"/>
  <c r="AE112" i="1" s="1"/>
  <c r="T111" i="1"/>
  <c r="AE111" i="1" s="1"/>
  <c r="T110" i="1"/>
  <c r="J110" i="1"/>
  <c r="T109" i="1"/>
  <c r="J109" i="1"/>
  <c r="T108" i="1"/>
  <c r="J108" i="1"/>
  <c r="AE110" i="1" l="1"/>
  <c r="AE155" i="1"/>
  <c r="AE147" i="1"/>
  <c r="AE152" i="1"/>
  <c r="AE153" i="1"/>
  <c r="AE144" i="1"/>
  <c r="AE154" i="1"/>
  <c r="AE108" i="1"/>
  <c r="AE145" i="1"/>
  <c r="AE109" i="1"/>
  <c r="T146" i="1"/>
  <c r="AE146" i="1" s="1"/>
  <c r="AE156" i="1"/>
  <c r="AE143" i="1"/>
  <c r="AE138" i="1"/>
  <c r="AE148" i="1"/>
  <c r="AE149" i="1"/>
  <c r="AE150" i="1"/>
  <c r="T443" i="1" l="1"/>
  <c r="AE443" i="1" s="1"/>
  <c r="T442" i="1"/>
  <c r="AE442" i="1" s="1"/>
  <c r="T441" i="1"/>
  <c r="AE441" i="1" s="1"/>
  <c r="P25" i="2" l="1"/>
  <c r="R25" i="2"/>
  <c r="S25" i="2"/>
  <c r="T25" i="2"/>
  <c r="U25" i="2"/>
  <c r="V25" i="2"/>
  <c r="W25" i="2"/>
  <c r="Y25" i="2"/>
  <c r="Z25" i="2"/>
  <c r="AA25" i="2"/>
  <c r="AC25" i="2"/>
  <c r="AE25" i="2"/>
  <c r="AF25" i="2"/>
  <c r="AG25" i="2"/>
  <c r="AH25" i="2"/>
  <c r="AI25" i="2"/>
  <c r="AJ25" i="2"/>
  <c r="AL25" i="2"/>
  <c r="AM25" i="2"/>
  <c r="AN25" i="2"/>
  <c r="AP25" i="2"/>
  <c r="AR25" i="2"/>
  <c r="AS25" i="2"/>
  <c r="AT25" i="2"/>
  <c r="AU25" i="2"/>
  <c r="AV25" i="2"/>
  <c r="AW25" i="2"/>
  <c r="AY25" i="2"/>
  <c r="AZ25" i="2"/>
  <c r="BA25" i="2"/>
  <c r="BC25" i="2"/>
  <c r="BE25" i="2"/>
  <c r="BF25" i="2"/>
  <c r="BG25" i="2"/>
  <c r="BH25" i="2"/>
  <c r="BI25" i="2"/>
  <c r="BJ25" i="2"/>
  <c r="BK25" i="2"/>
  <c r="BM25" i="2"/>
  <c r="BO25" i="2"/>
  <c r="BP25" i="2"/>
  <c r="BQ25" i="2"/>
  <c r="BR25" i="2"/>
  <c r="BS25" i="2"/>
  <c r="BT25" i="2"/>
  <c r="BU25" i="2"/>
  <c r="P22" i="2"/>
  <c r="R22" i="2"/>
  <c r="S22" i="2"/>
  <c r="T22" i="2"/>
  <c r="U22" i="2"/>
  <c r="V22" i="2"/>
  <c r="W22" i="2"/>
  <c r="Y22" i="2"/>
  <c r="Z22" i="2"/>
  <c r="AA22" i="2"/>
  <c r="AC22" i="2"/>
  <c r="AE22" i="2"/>
  <c r="AF22" i="2"/>
  <c r="AG22" i="2"/>
  <c r="AH22" i="2"/>
  <c r="AI22" i="2"/>
  <c r="AJ22" i="2"/>
  <c r="AL22" i="2"/>
  <c r="AM22" i="2"/>
  <c r="AN22" i="2"/>
  <c r="AP22" i="2"/>
  <c r="AR22" i="2"/>
  <c r="AS22" i="2"/>
  <c r="AT22" i="2"/>
  <c r="AU22" i="2"/>
  <c r="AV22" i="2"/>
  <c r="AW22" i="2"/>
  <c r="AY22" i="2"/>
  <c r="AZ22" i="2"/>
  <c r="BA22" i="2"/>
  <c r="AA61" i="1"/>
  <c r="U61" i="1"/>
  <c r="P61" i="1"/>
  <c r="J61" i="1"/>
  <c r="AA60" i="1"/>
  <c r="U60" i="1"/>
  <c r="P60" i="1"/>
  <c r="J60" i="1"/>
  <c r="U59" i="1"/>
  <c r="T59" i="1" s="1"/>
  <c r="P59" i="1"/>
  <c r="J59" i="1"/>
  <c r="U58" i="1"/>
  <c r="T58" i="1" s="1"/>
  <c r="P58" i="1"/>
  <c r="J58" i="1"/>
  <c r="AA57" i="1"/>
  <c r="U57" i="1"/>
  <c r="P57" i="1"/>
  <c r="J57" i="1"/>
  <c r="AA56" i="1"/>
  <c r="U56" i="1"/>
  <c r="P56" i="1"/>
  <c r="J56" i="1"/>
  <c r="U55" i="1"/>
  <c r="T55" i="1" s="1"/>
  <c r="P55" i="1"/>
  <c r="J55" i="1"/>
  <c r="T54" i="1"/>
  <c r="AE54" i="1" s="1"/>
  <c r="U53" i="1"/>
  <c r="T53" i="1" s="1"/>
  <c r="J53" i="1"/>
  <c r="T52" i="1"/>
  <c r="AE52" i="1" s="1"/>
  <c r="T51" i="1"/>
  <c r="AE51" i="1" s="1"/>
  <c r="T50" i="1"/>
  <c r="AE50" i="1" s="1"/>
  <c r="T49" i="1"/>
  <c r="AE49" i="1" s="1"/>
  <c r="T48" i="1"/>
  <c r="J48" i="1"/>
  <c r="T47" i="1"/>
  <c r="J47" i="1"/>
  <c r="AA46" i="1"/>
  <c r="U46" i="1"/>
  <c r="P46" i="1"/>
  <c r="J46" i="1"/>
  <c r="U45" i="1"/>
  <c r="T45" i="1" s="1"/>
  <c r="P45" i="1"/>
  <c r="J45" i="1"/>
  <c r="AA44" i="1"/>
  <c r="U44" i="1"/>
  <c r="P44" i="1"/>
  <c r="J44" i="1"/>
  <c r="AA43" i="1"/>
  <c r="U43" i="1"/>
  <c r="P43" i="1"/>
  <c r="J43" i="1"/>
  <c r="T42" i="1"/>
  <c r="AE42" i="1" s="1"/>
  <c r="T41" i="1"/>
  <c r="AE41" i="1" s="1"/>
  <c r="T40" i="1"/>
  <c r="J40" i="1"/>
  <c r="T39" i="1"/>
  <c r="AE39" i="1" s="1"/>
  <c r="T38" i="1"/>
  <c r="AE38" i="1" s="1"/>
  <c r="T37" i="1"/>
  <c r="AE37" i="1" s="1"/>
  <c r="T36" i="1"/>
  <c r="AE36" i="1" s="1"/>
  <c r="T35" i="1"/>
  <c r="J35" i="1"/>
  <c r="U34" i="1"/>
  <c r="T34" i="1" s="1"/>
  <c r="J34" i="1"/>
  <c r="AA33" i="1"/>
  <c r="T33" i="1" s="1"/>
  <c r="AE33" i="1" s="1"/>
  <c r="U32" i="1"/>
  <c r="T32" i="1" s="1"/>
  <c r="AE32" i="1" s="1"/>
  <c r="P32" i="1"/>
  <c r="T31" i="1"/>
  <c r="P31" i="1"/>
  <c r="J31" i="1"/>
  <c r="T30" i="1"/>
  <c r="AE30" i="1" s="1"/>
  <c r="P30" i="1"/>
  <c r="T29" i="1"/>
  <c r="AE29" i="1" s="1"/>
  <c r="AE18" i="1"/>
  <c r="AE14" i="1"/>
  <c r="AE13" i="1"/>
  <c r="T12" i="1"/>
  <c r="AE12" i="1" s="1"/>
  <c r="T11" i="1"/>
  <c r="AE11" i="1" s="1"/>
  <c r="T10" i="1"/>
  <c r="AE10" i="1" s="1"/>
  <c r="T9" i="1"/>
  <c r="AE9" i="1" s="1"/>
  <c r="T8" i="1"/>
  <c r="AE8" i="1" s="1"/>
  <c r="T7" i="1"/>
  <c r="AE7" i="1" s="1"/>
  <c r="T6" i="1"/>
  <c r="AE6" i="1" s="1"/>
  <c r="CH25" i="2" l="1"/>
  <c r="BX25" i="2"/>
  <c r="BZ22" i="2"/>
  <c r="BZ25" i="2"/>
  <c r="BX22" i="2"/>
  <c r="J22" i="2"/>
  <c r="N25" i="2"/>
  <c r="AK25" i="2"/>
  <c r="CD22" i="2"/>
  <c r="CB22" i="2"/>
  <c r="CA22" i="2"/>
  <c r="G25" i="2"/>
  <c r="AQ25" i="2"/>
  <c r="CG22" i="2"/>
  <c r="AK22" i="2"/>
  <c r="BD25" i="2"/>
  <c r="BB25" i="2" s="1"/>
  <c r="CC22" i="2"/>
  <c r="L25" i="2"/>
  <c r="J25" i="2"/>
  <c r="CD25" i="2"/>
  <c r="BN25" i="2"/>
  <c r="BL25" i="2" s="1"/>
  <c r="M25" i="2" s="1"/>
  <c r="AX25" i="2"/>
  <c r="H25" i="2"/>
  <c r="CI25" i="2"/>
  <c r="F25" i="2"/>
  <c r="E25" i="2"/>
  <c r="AQ22" i="2"/>
  <c r="N22" i="2"/>
  <c r="CB25" i="2"/>
  <c r="C25" i="2"/>
  <c r="I25" i="2"/>
  <c r="M22" i="2"/>
  <c r="I22" i="2"/>
  <c r="CC25" i="2"/>
  <c r="CG25" i="2"/>
  <c r="CI22" i="2"/>
  <c r="CE22" i="2"/>
  <c r="G22" i="2"/>
  <c r="CA25" i="2"/>
  <c r="AD25" i="2"/>
  <c r="CH22" i="2"/>
  <c r="H22" i="2"/>
  <c r="Q25" i="2"/>
  <c r="CE25" i="2"/>
  <c r="AX22" i="2"/>
  <c r="F22" i="2"/>
  <c r="E22" i="2"/>
  <c r="X25" i="2"/>
  <c r="C22" i="2"/>
  <c r="AD22" i="2"/>
  <c r="X22" i="2"/>
  <c r="L22" i="2"/>
  <c r="Q22" i="2"/>
  <c r="T60" i="1"/>
  <c r="AE60" i="1" s="1"/>
  <c r="AE31" i="1"/>
  <c r="T46" i="1"/>
  <c r="AE46" i="1" s="1"/>
  <c r="T44" i="1"/>
  <c r="AE44" i="1" s="1"/>
  <c r="T43" i="1"/>
  <c r="AE43" i="1" s="1"/>
  <c r="T61" i="1"/>
  <c r="AE61" i="1" s="1"/>
  <c r="T57" i="1"/>
  <c r="AE57" i="1" s="1"/>
  <c r="T56" i="1"/>
  <c r="AE56" i="1" s="1"/>
  <c r="AE58" i="1"/>
  <c r="AE35" i="1"/>
  <c r="AE40" i="1"/>
  <c r="AE53" i="1"/>
  <c r="AE47" i="1"/>
  <c r="AE48" i="1"/>
  <c r="AE45" i="1"/>
  <c r="AE59" i="1"/>
  <c r="AE55" i="1"/>
  <c r="AE34" i="1"/>
  <c r="CF25" i="2" l="1"/>
  <c r="AB22" i="2"/>
  <c r="BY22" i="2"/>
  <c r="AB25" i="2"/>
  <c r="CF22" i="2"/>
  <c r="AO25" i="2"/>
  <c r="K25" i="2"/>
  <c r="BY25" i="2"/>
  <c r="O22" i="2"/>
  <c r="K22" i="2"/>
  <c r="D25" i="2"/>
  <c r="B25" i="2" s="1"/>
  <c r="O25" i="2"/>
  <c r="D22" i="2"/>
  <c r="AO22" i="2"/>
  <c r="U479" i="1"/>
  <c r="T479" i="1" s="1"/>
  <c r="P479" i="1"/>
  <c r="J479" i="1"/>
  <c r="U478" i="1"/>
  <c r="T478" i="1" s="1"/>
  <c r="P478" i="1"/>
  <c r="J478" i="1"/>
  <c r="U477" i="1"/>
  <c r="T477" i="1" s="1"/>
  <c r="P477" i="1"/>
  <c r="J477" i="1"/>
  <c r="U476" i="1"/>
  <c r="T476" i="1" s="1"/>
  <c r="P476" i="1"/>
  <c r="J476" i="1"/>
  <c r="U475" i="1"/>
  <c r="T475" i="1" s="1"/>
  <c r="P475" i="1"/>
  <c r="J475" i="1"/>
  <c r="U474" i="1"/>
  <c r="T474" i="1" s="1"/>
  <c r="P474" i="1"/>
  <c r="J474" i="1"/>
  <c r="U473" i="1"/>
  <c r="T473" i="1" s="1"/>
  <c r="P473" i="1"/>
  <c r="J473" i="1"/>
  <c r="U472" i="1"/>
  <c r="T472" i="1" s="1"/>
  <c r="P472" i="1"/>
  <c r="J472" i="1"/>
  <c r="U471" i="1"/>
  <c r="T471" i="1" s="1"/>
  <c r="P471" i="1"/>
  <c r="J471" i="1"/>
  <c r="U470" i="1"/>
  <c r="T470" i="1" s="1"/>
  <c r="J470" i="1"/>
  <c r="T469" i="1"/>
  <c r="J469" i="1"/>
  <c r="BW22" i="2" l="1"/>
  <c r="BW25" i="2"/>
  <c r="B22" i="2"/>
  <c r="AE478" i="1"/>
  <c r="AE479" i="1"/>
  <c r="AE469" i="1"/>
  <c r="AE472" i="1"/>
  <c r="AE474" i="1"/>
  <c r="AE471" i="1"/>
  <c r="AE470" i="1"/>
  <c r="AE475" i="1"/>
  <c r="AE476" i="1"/>
  <c r="AE477" i="1"/>
  <c r="AE473" i="1"/>
  <c r="K4" i="13" l="1"/>
  <c r="J4" i="13"/>
  <c r="D27" i="12"/>
  <c r="D26" i="12"/>
  <c r="D25" i="12"/>
  <c r="D24" i="12"/>
  <c r="D23" i="12"/>
  <c r="D21" i="12"/>
  <c r="D19" i="12"/>
  <c r="H18" i="12"/>
  <c r="G18" i="12"/>
  <c r="F18" i="12"/>
  <c r="E18" i="12"/>
  <c r="D18" i="12"/>
  <c r="D16" i="12"/>
  <c r="D15" i="12"/>
  <c r="D14" i="12"/>
  <c r="D12" i="12"/>
  <c r="D10" i="12"/>
  <c r="D9" i="12"/>
  <c r="D7" i="12"/>
  <c r="D5" i="12"/>
  <c r="D3" i="12"/>
  <c r="I2" i="12"/>
  <c r="H2" i="12"/>
  <c r="G2" i="12"/>
  <c r="F2" i="12"/>
  <c r="E2" i="12"/>
  <c r="D2" i="12"/>
  <c r="I1" i="12"/>
  <c r="H1" i="12"/>
  <c r="G1" i="12"/>
  <c r="F1" i="12"/>
  <c r="E1" i="12"/>
  <c r="D1" i="12"/>
  <c r="M32" i="11"/>
  <c r="U21" i="11"/>
  <c r="U19" i="11"/>
  <c r="U16" i="11"/>
  <c r="L40" i="2"/>
  <c r="J40" i="2"/>
  <c r="I40" i="2"/>
  <c r="H40" i="2"/>
  <c r="G40" i="2"/>
  <c r="F40" i="2"/>
  <c r="E40" i="2"/>
  <c r="D40" i="2"/>
  <c r="C40" i="2"/>
  <c r="B40" i="2"/>
  <c r="BU32" i="2"/>
  <c r="BT32" i="2"/>
  <c r="BS32" i="2"/>
  <c r="BR32" i="2"/>
  <c r="BQ32" i="2"/>
  <c r="BP32" i="2"/>
  <c r="BO32" i="2"/>
  <c r="BM32" i="2"/>
  <c r="BK32" i="2"/>
  <c r="BJ32" i="2"/>
  <c r="BI32" i="2"/>
  <c r="BH32" i="2"/>
  <c r="BG32" i="2"/>
  <c r="BF32" i="2"/>
  <c r="BE32" i="2"/>
  <c r="BC32" i="2"/>
  <c r="BA32" i="2"/>
  <c r="AZ32" i="2"/>
  <c r="AY32" i="2"/>
  <c r="AW32" i="2"/>
  <c r="AV32" i="2"/>
  <c r="AU32" i="2"/>
  <c r="AT32" i="2"/>
  <c r="AS32" i="2"/>
  <c r="AR32" i="2"/>
  <c r="AP32" i="2"/>
  <c r="AN32" i="2"/>
  <c r="AM32" i="2"/>
  <c r="AL32" i="2"/>
  <c r="AJ32" i="2"/>
  <c r="AI32" i="2"/>
  <c r="AH32" i="2"/>
  <c r="AG32" i="2"/>
  <c r="AF32" i="2"/>
  <c r="AE32" i="2"/>
  <c r="AC32" i="2"/>
  <c r="AA32" i="2"/>
  <c r="Z32" i="2"/>
  <c r="Y32" i="2"/>
  <c r="W32" i="2"/>
  <c r="V32" i="2"/>
  <c r="U32" i="2"/>
  <c r="T32" i="2"/>
  <c r="S32" i="2"/>
  <c r="R32" i="2"/>
  <c r="P32" i="2"/>
  <c r="BU31" i="2"/>
  <c r="BT31" i="2"/>
  <c r="BS31" i="2"/>
  <c r="BR31" i="2"/>
  <c r="BQ31" i="2"/>
  <c r="BP31" i="2"/>
  <c r="BO31" i="2"/>
  <c r="BM31" i="2"/>
  <c r="BK31" i="2"/>
  <c r="BJ31" i="2"/>
  <c r="BI31" i="2"/>
  <c r="BH31" i="2"/>
  <c r="BG31" i="2"/>
  <c r="BF31" i="2"/>
  <c r="BE31" i="2"/>
  <c r="BC31" i="2"/>
  <c r="BA31" i="2"/>
  <c r="AZ31" i="2"/>
  <c r="AY31" i="2"/>
  <c r="AW31" i="2"/>
  <c r="AV31" i="2"/>
  <c r="AU31" i="2"/>
  <c r="AT31" i="2"/>
  <c r="AS31" i="2"/>
  <c r="AR31" i="2"/>
  <c r="AP31" i="2"/>
  <c r="AN31" i="2"/>
  <c r="AM31" i="2"/>
  <c r="AL31" i="2"/>
  <c r="AJ31" i="2"/>
  <c r="AI31" i="2"/>
  <c r="AH31" i="2"/>
  <c r="AG31" i="2"/>
  <c r="AF31" i="2"/>
  <c r="AE31" i="2"/>
  <c r="AC31" i="2"/>
  <c r="AA31" i="2"/>
  <c r="Z31" i="2"/>
  <c r="Y31" i="2"/>
  <c r="W31" i="2"/>
  <c r="V31" i="2"/>
  <c r="U31" i="2"/>
  <c r="T31" i="2"/>
  <c r="S31" i="2"/>
  <c r="R31" i="2"/>
  <c r="P31" i="2"/>
  <c r="BU30" i="2"/>
  <c r="BT30" i="2"/>
  <c r="BS30" i="2"/>
  <c r="BR30" i="2"/>
  <c r="BQ30" i="2"/>
  <c r="BP30" i="2"/>
  <c r="BO30" i="2"/>
  <c r="BM30" i="2"/>
  <c r="BK30" i="2"/>
  <c r="BJ30" i="2"/>
  <c r="BI30" i="2"/>
  <c r="BH30" i="2"/>
  <c r="BG30" i="2"/>
  <c r="BF30" i="2"/>
  <c r="BE30" i="2"/>
  <c r="BC30" i="2"/>
  <c r="BA30" i="2"/>
  <c r="AZ30" i="2"/>
  <c r="AY30" i="2"/>
  <c r="AW30" i="2"/>
  <c r="AV30" i="2"/>
  <c r="AU30" i="2"/>
  <c r="AT30" i="2"/>
  <c r="AS30" i="2"/>
  <c r="AR30" i="2"/>
  <c r="AP30" i="2"/>
  <c r="AN30" i="2"/>
  <c r="AM30" i="2"/>
  <c r="AL30" i="2"/>
  <c r="AJ30" i="2"/>
  <c r="AI30" i="2"/>
  <c r="AH30" i="2"/>
  <c r="AG30" i="2"/>
  <c r="AF30" i="2"/>
  <c r="AE30" i="2"/>
  <c r="AC30" i="2"/>
  <c r="AA30" i="2"/>
  <c r="Z30" i="2"/>
  <c r="Y30" i="2"/>
  <c r="W30" i="2"/>
  <c r="V30" i="2"/>
  <c r="U30" i="2"/>
  <c r="T30" i="2"/>
  <c r="S30" i="2"/>
  <c r="R30" i="2"/>
  <c r="P30" i="2"/>
  <c r="BU29" i="2"/>
  <c r="BT29" i="2"/>
  <c r="BS29" i="2"/>
  <c r="BR29" i="2"/>
  <c r="BQ29" i="2"/>
  <c r="BP29" i="2"/>
  <c r="BO29" i="2"/>
  <c r="BM29" i="2"/>
  <c r="BK29" i="2"/>
  <c r="BJ29" i="2"/>
  <c r="BI29" i="2"/>
  <c r="BH29" i="2"/>
  <c r="BG29" i="2"/>
  <c r="BF29" i="2"/>
  <c r="BE29" i="2"/>
  <c r="BC29" i="2"/>
  <c r="BA29" i="2"/>
  <c r="AZ29" i="2"/>
  <c r="AY29" i="2"/>
  <c r="AW29" i="2"/>
  <c r="AV29" i="2"/>
  <c r="AU29" i="2"/>
  <c r="AT29" i="2"/>
  <c r="AS29" i="2"/>
  <c r="AR29" i="2"/>
  <c r="AP29" i="2"/>
  <c r="AN29" i="2"/>
  <c r="AM29" i="2"/>
  <c r="AL29" i="2"/>
  <c r="AJ29" i="2"/>
  <c r="AI29" i="2"/>
  <c r="AH29" i="2"/>
  <c r="AG29" i="2"/>
  <c r="AF29" i="2"/>
  <c r="AE29" i="2"/>
  <c r="AC29" i="2"/>
  <c r="AA29" i="2"/>
  <c r="Z29" i="2"/>
  <c r="Y29" i="2"/>
  <c r="W29" i="2"/>
  <c r="V29" i="2"/>
  <c r="U29" i="2"/>
  <c r="T29" i="2"/>
  <c r="S29" i="2"/>
  <c r="R29" i="2"/>
  <c r="P29" i="2"/>
  <c r="BU28" i="2"/>
  <c r="BT28" i="2"/>
  <c r="BS28" i="2"/>
  <c r="BR28" i="2"/>
  <c r="BQ28" i="2"/>
  <c r="BP28" i="2"/>
  <c r="BO28" i="2"/>
  <c r="BM28" i="2"/>
  <c r="BK28" i="2"/>
  <c r="BJ28" i="2"/>
  <c r="BI28" i="2"/>
  <c r="BH28" i="2"/>
  <c r="BG28" i="2"/>
  <c r="BF28" i="2"/>
  <c r="BE28" i="2"/>
  <c r="BC28" i="2"/>
  <c r="BA28" i="2"/>
  <c r="AZ28" i="2"/>
  <c r="AY28" i="2"/>
  <c r="AW28" i="2"/>
  <c r="AV28" i="2"/>
  <c r="AU28" i="2"/>
  <c r="AT28" i="2"/>
  <c r="AS28" i="2"/>
  <c r="AR28" i="2"/>
  <c r="AP28" i="2"/>
  <c r="AN28" i="2"/>
  <c r="AM28" i="2"/>
  <c r="AL28" i="2"/>
  <c r="AJ28" i="2"/>
  <c r="AI28" i="2"/>
  <c r="AH28" i="2"/>
  <c r="AG28" i="2"/>
  <c r="AF28" i="2"/>
  <c r="AE28" i="2"/>
  <c r="AC28" i="2"/>
  <c r="AA28" i="2"/>
  <c r="Z28" i="2"/>
  <c r="Y28" i="2"/>
  <c r="W28" i="2"/>
  <c r="V28" i="2"/>
  <c r="U28" i="2"/>
  <c r="T28" i="2"/>
  <c r="S28" i="2"/>
  <c r="R28" i="2"/>
  <c r="P28" i="2"/>
  <c r="BU27" i="2"/>
  <c r="BT27" i="2"/>
  <c r="BS27" i="2"/>
  <c r="BR27" i="2"/>
  <c r="BQ27" i="2"/>
  <c r="BP27" i="2"/>
  <c r="BO27" i="2"/>
  <c r="BM27" i="2"/>
  <c r="BK27" i="2"/>
  <c r="BJ27" i="2"/>
  <c r="BI27" i="2"/>
  <c r="BH27" i="2"/>
  <c r="BG27" i="2"/>
  <c r="BF27" i="2"/>
  <c r="BE27" i="2"/>
  <c r="BC27" i="2"/>
  <c r="BA27" i="2"/>
  <c r="AZ27" i="2"/>
  <c r="AY27" i="2"/>
  <c r="AW27" i="2"/>
  <c r="AV27" i="2"/>
  <c r="AU27" i="2"/>
  <c r="AT27" i="2"/>
  <c r="AS27" i="2"/>
  <c r="AR27" i="2"/>
  <c r="AP27" i="2"/>
  <c r="AN27" i="2"/>
  <c r="AM27" i="2"/>
  <c r="AL27" i="2"/>
  <c r="AJ27" i="2"/>
  <c r="AI27" i="2"/>
  <c r="AH27" i="2"/>
  <c r="AG27" i="2"/>
  <c r="AF27" i="2"/>
  <c r="AE27" i="2"/>
  <c r="AC27" i="2"/>
  <c r="AA27" i="2"/>
  <c r="Z27" i="2"/>
  <c r="Y27" i="2"/>
  <c r="W27" i="2"/>
  <c r="V27" i="2"/>
  <c r="U27" i="2"/>
  <c r="T27" i="2"/>
  <c r="S27" i="2"/>
  <c r="R27" i="2"/>
  <c r="P27" i="2"/>
  <c r="BU26" i="2"/>
  <c r="BT26" i="2"/>
  <c r="BS26" i="2"/>
  <c r="BR26" i="2"/>
  <c r="BQ26" i="2"/>
  <c r="BP26" i="2"/>
  <c r="BO26" i="2"/>
  <c r="BM26" i="2"/>
  <c r="BK26" i="2"/>
  <c r="BJ26" i="2"/>
  <c r="BI26" i="2"/>
  <c r="BH26" i="2"/>
  <c r="BG26" i="2"/>
  <c r="BF26" i="2"/>
  <c r="BE26" i="2"/>
  <c r="BC26" i="2"/>
  <c r="BA26" i="2"/>
  <c r="AZ26" i="2"/>
  <c r="AY26" i="2"/>
  <c r="AW26" i="2"/>
  <c r="AV26" i="2"/>
  <c r="AU26" i="2"/>
  <c r="AT26" i="2"/>
  <c r="AS26" i="2"/>
  <c r="AR26" i="2"/>
  <c r="AP26" i="2"/>
  <c r="AN26" i="2"/>
  <c r="AM26" i="2"/>
  <c r="AL26" i="2"/>
  <c r="AJ26" i="2"/>
  <c r="AI26" i="2"/>
  <c r="AH26" i="2"/>
  <c r="AG26" i="2"/>
  <c r="AF26" i="2"/>
  <c r="AE26" i="2"/>
  <c r="AC26" i="2"/>
  <c r="AA26" i="2"/>
  <c r="Z26" i="2"/>
  <c r="Y26" i="2"/>
  <c r="W26" i="2"/>
  <c r="V26" i="2"/>
  <c r="U26" i="2"/>
  <c r="T26" i="2"/>
  <c r="S26" i="2"/>
  <c r="R26" i="2"/>
  <c r="P26" i="2"/>
  <c r="BU24" i="2"/>
  <c r="BT24" i="2"/>
  <c r="BS24" i="2"/>
  <c r="BR24" i="2"/>
  <c r="BQ24" i="2"/>
  <c r="BP24" i="2"/>
  <c r="BO24" i="2"/>
  <c r="BM24" i="2"/>
  <c r="BK24" i="2"/>
  <c r="BJ24" i="2"/>
  <c r="BI24" i="2"/>
  <c r="BH24" i="2"/>
  <c r="BG24" i="2"/>
  <c r="BF24" i="2"/>
  <c r="BE24" i="2"/>
  <c r="BC24" i="2"/>
  <c r="BA24" i="2"/>
  <c r="AZ24" i="2"/>
  <c r="AY24" i="2"/>
  <c r="AW24" i="2"/>
  <c r="AV24" i="2"/>
  <c r="AU24" i="2"/>
  <c r="AT24" i="2"/>
  <c r="AS24" i="2"/>
  <c r="AR24" i="2"/>
  <c r="AP24" i="2"/>
  <c r="AN24" i="2"/>
  <c r="AM24" i="2"/>
  <c r="AL24" i="2"/>
  <c r="AJ24" i="2"/>
  <c r="AI24" i="2"/>
  <c r="AH24" i="2"/>
  <c r="AG24" i="2"/>
  <c r="AF24" i="2"/>
  <c r="AE24" i="2"/>
  <c r="AC24" i="2"/>
  <c r="AA24" i="2"/>
  <c r="Z24" i="2"/>
  <c r="Y24" i="2"/>
  <c r="W24" i="2"/>
  <c r="V24" i="2"/>
  <c r="U24" i="2"/>
  <c r="T24" i="2"/>
  <c r="S24" i="2"/>
  <c r="R24" i="2"/>
  <c r="P24" i="2"/>
  <c r="BU23" i="2"/>
  <c r="BT23" i="2"/>
  <c r="BS23" i="2"/>
  <c r="BR23" i="2"/>
  <c r="BQ23" i="2"/>
  <c r="BP23" i="2"/>
  <c r="BO23" i="2"/>
  <c r="BM23" i="2"/>
  <c r="BK23" i="2"/>
  <c r="BJ23" i="2"/>
  <c r="BI23" i="2"/>
  <c r="BH23" i="2"/>
  <c r="BG23" i="2"/>
  <c r="BF23" i="2"/>
  <c r="BE23" i="2"/>
  <c r="BC23" i="2"/>
  <c r="BA23" i="2"/>
  <c r="AZ23" i="2"/>
  <c r="AY23" i="2"/>
  <c r="AW23" i="2"/>
  <c r="AV23" i="2"/>
  <c r="AU23" i="2"/>
  <c r="AT23" i="2"/>
  <c r="AS23" i="2"/>
  <c r="AR23" i="2"/>
  <c r="AP23" i="2"/>
  <c r="AN23" i="2"/>
  <c r="AM23" i="2"/>
  <c r="AL23" i="2"/>
  <c r="AJ23" i="2"/>
  <c r="AI23" i="2"/>
  <c r="AH23" i="2"/>
  <c r="AG23" i="2"/>
  <c r="AF23" i="2"/>
  <c r="AE23" i="2"/>
  <c r="AC23" i="2"/>
  <c r="AA23" i="2"/>
  <c r="Z23" i="2"/>
  <c r="Y23" i="2"/>
  <c r="W23" i="2"/>
  <c r="V23" i="2"/>
  <c r="U23" i="2"/>
  <c r="T23" i="2"/>
  <c r="S23" i="2"/>
  <c r="R23" i="2"/>
  <c r="P23" i="2"/>
  <c r="BU21" i="2"/>
  <c r="BT21" i="2"/>
  <c r="BS21" i="2"/>
  <c r="BR21" i="2"/>
  <c r="BQ21" i="2"/>
  <c r="BP21" i="2"/>
  <c r="BO21" i="2"/>
  <c r="BM21" i="2"/>
  <c r="BK21" i="2"/>
  <c r="BJ21" i="2"/>
  <c r="BI21" i="2"/>
  <c r="BH21" i="2"/>
  <c r="BG21" i="2"/>
  <c r="BF21" i="2"/>
  <c r="BE21" i="2"/>
  <c r="BC21" i="2"/>
  <c r="BA21" i="2"/>
  <c r="AZ21" i="2"/>
  <c r="AY21" i="2"/>
  <c r="AW21" i="2"/>
  <c r="AV21" i="2"/>
  <c r="AU21" i="2"/>
  <c r="AT21" i="2"/>
  <c r="AS21" i="2"/>
  <c r="AR21" i="2"/>
  <c r="AP21" i="2"/>
  <c r="AN21" i="2"/>
  <c r="AM21" i="2"/>
  <c r="AL21" i="2"/>
  <c r="AJ21" i="2"/>
  <c r="AI21" i="2"/>
  <c r="AH21" i="2"/>
  <c r="AG21" i="2"/>
  <c r="AF21" i="2"/>
  <c r="AE21" i="2"/>
  <c r="AC21" i="2"/>
  <c r="AA21" i="2"/>
  <c r="Z21" i="2"/>
  <c r="Y21" i="2"/>
  <c r="W21" i="2"/>
  <c r="V21" i="2"/>
  <c r="U21" i="2"/>
  <c r="T21" i="2"/>
  <c r="S21" i="2"/>
  <c r="R21" i="2"/>
  <c r="P21" i="2"/>
  <c r="BU20" i="2"/>
  <c r="BT20" i="2"/>
  <c r="BS20" i="2"/>
  <c r="BR20" i="2"/>
  <c r="BQ20" i="2"/>
  <c r="BP20" i="2"/>
  <c r="BO20" i="2"/>
  <c r="BM20" i="2"/>
  <c r="BK20" i="2"/>
  <c r="BJ20" i="2"/>
  <c r="BI20" i="2"/>
  <c r="BH20" i="2"/>
  <c r="BG20" i="2"/>
  <c r="BF20" i="2"/>
  <c r="BE20" i="2"/>
  <c r="BC20" i="2"/>
  <c r="BA20" i="2"/>
  <c r="AZ20" i="2"/>
  <c r="AY20" i="2"/>
  <c r="AW20" i="2"/>
  <c r="AV20" i="2"/>
  <c r="AU20" i="2"/>
  <c r="AT20" i="2"/>
  <c r="AS20" i="2"/>
  <c r="AR20" i="2"/>
  <c r="AP20" i="2"/>
  <c r="AN20" i="2"/>
  <c r="AM20" i="2"/>
  <c r="AL20" i="2"/>
  <c r="AJ20" i="2"/>
  <c r="AI20" i="2"/>
  <c r="AH20" i="2"/>
  <c r="AG20" i="2"/>
  <c r="AF20" i="2"/>
  <c r="AE20" i="2"/>
  <c r="AC20" i="2"/>
  <c r="AA20" i="2"/>
  <c r="Z20" i="2"/>
  <c r="Y20" i="2"/>
  <c r="W20" i="2"/>
  <c r="V20" i="2"/>
  <c r="U20" i="2"/>
  <c r="T20" i="2"/>
  <c r="S20" i="2"/>
  <c r="R20" i="2"/>
  <c r="P20" i="2"/>
  <c r="BU19" i="2"/>
  <c r="BT19" i="2"/>
  <c r="BS19" i="2"/>
  <c r="BR19" i="2"/>
  <c r="BQ19" i="2"/>
  <c r="BP19" i="2"/>
  <c r="BO19" i="2"/>
  <c r="BM19" i="2"/>
  <c r="BK19" i="2"/>
  <c r="BJ19" i="2"/>
  <c r="BI19" i="2"/>
  <c r="BH19" i="2"/>
  <c r="BG19" i="2"/>
  <c r="BF19" i="2"/>
  <c r="BE19" i="2"/>
  <c r="BC19" i="2"/>
  <c r="BA19" i="2"/>
  <c r="AZ19" i="2"/>
  <c r="AY19" i="2"/>
  <c r="AW19" i="2"/>
  <c r="AV19" i="2"/>
  <c r="AU19" i="2"/>
  <c r="AT19" i="2"/>
  <c r="AS19" i="2"/>
  <c r="AR19" i="2"/>
  <c r="AP19" i="2"/>
  <c r="AN19" i="2"/>
  <c r="AM19" i="2"/>
  <c r="AL19" i="2"/>
  <c r="AJ19" i="2"/>
  <c r="AI19" i="2"/>
  <c r="AH19" i="2"/>
  <c r="AG19" i="2"/>
  <c r="AF19" i="2"/>
  <c r="AE19" i="2"/>
  <c r="AC19" i="2"/>
  <c r="AA19" i="2"/>
  <c r="Z19" i="2"/>
  <c r="Y19" i="2"/>
  <c r="W19" i="2"/>
  <c r="V19" i="2"/>
  <c r="U19" i="2"/>
  <c r="T19" i="2"/>
  <c r="S19" i="2"/>
  <c r="R19" i="2"/>
  <c r="P19" i="2"/>
  <c r="BU18" i="2"/>
  <c r="BT18" i="2"/>
  <c r="BS18" i="2"/>
  <c r="BR18" i="2"/>
  <c r="BQ18" i="2"/>
  <c r="BP18" i="2"/>
  <c r="BO18" i="2"/>
  <c r="BM18" i="2"/>
  <c r="BK18" i="2"/>
  <c r="BJ18" i="2"/>
  <c r="BI18" i="2"/>
  <c r="BH18" i="2"/>
  <c r="BG18" i="2"/>
  <c r="BF18" i="2"/>
  <c r="BE18" i="2"/>
  <c r="BC18" i="2"/>
  <c r="BA18" i="2"/>
  <c r="AZ18" i="2"/>
  <c r="AY18" i="2"/>
  <c r="AW18" i="2"/>
  <c r="AV18" i="2"/>
  <c r="AU18" i="2"/>
  <c r="AT18" i="2"/>
  <c r="AS18" i="2"/>
  <c r="AR18" i="2"/>
  <c r="AP18" i="2"/>
  <c r="AN18" i="2"/>
  <c r="AM18" i="2"/>
  <c r="AL18" i="2"/>
  <c r="AJ18" i="2"/>
  <c r="AI18" i="2"/>
  <c r="AH18" i="2"/>
  <c r="AG18" i="2"/>
  <c r="AF18" i="2"/>
  <c r="AE18" i="2"/>
  <c r="AC18" i="2"/>
  <c r="AA18" i="2"/>
  <c r="Z18" i="2"/>
  <c r="Y18" i="2"/>
  <c r="W18" i="2"/>
  <c r="V18" i="2"/>
  <c r="U18" i="2"/>
  <c r="T18" i="2"/>
  <c r="S18" i="2"/>
  <c r="R18" i="2"/>
  <c r="P18" i="2"/>
  <c r="BU17" i="2"/>
  <c r="BT17" i="2"/>
  <c r="BS17" i="2"/>
  <c r="BR17" i="2"/>
  <c r="BQ17" i="2"/>
  <c r="BP17" i="2"/>
  <c r="BO17" i="2"/>
  <c r="BM17" i="2"/>
  <c r="BK17" i="2"/>
  <c r="BJ17" i="2"/>
  <c r="BI17" i="2"/>
  <c r="BH17" i="2"/>
  <c r="BG17" i="2"/>
  <c r="BF17" i="2"/>
  <c r="BE17" i="2"/>
  <c r="BC17" i="2"/>
  <c r="BA17" i="2"/>
  <c r="AZ17" i="2"/>
  <c r="AY17" i="2"/>
  <c r="AW17" i="2"/>
  <c r="AV17" i="2"/>
  <c r="AU17" i="2"/>
  <c r="AT17" i="2"/>
  <c r="AS17" i="2"/>
  <c r="AR17" i="2"/>
  <c r="AP17" i="2"/>
  <c r="AN17" i="2"/>
  <c r="AM17" i="2"/>
  <c r="AL17" i="2"/>
  <c r="AJ17" i="2"/>
  <c r="AI17" i="2"/>
  <c r="AH17" i="2"/>
  <c r="AG17" i="2"/>
  <c r="AF17" i="2"/>
  <c r="AE17" i="2"/>
  <c r="AC17" i="2"/>
  <c r="AA17" i="2"/>
  <c r="Z17" i="2"/>
  <c r="Y17" i="2"/>
  <c r="W17" i="2"/>
  <c r="V17" i="2"/>
  <c r="U17" i="2"/>
  <c r="T17" i="2"/>
  <c r="S17" i="2"/>
  <c r="R17" i="2"/>
  <c r="P17" i="2"/>
  <c r="BU16" i="2"/>
  <c r="BT16" i="2"/>
  <c r="BS16" i="2"/>
  <c r="BR16" i="2"/>
  <c r="BQ16" i="2"/>
  <c r="BP16" i="2"/>
  <c r="BO16" i="2"/>
  <c r="BM16" i="2"/>
  <c r="BK16" i="2"/>
  <c r="BJ16" i="2"/>
  <c r="BI16" i="2"/>
  <c r="BH16" i="2"/>
  <c r="BG16" i="2"/>
  <c r="BF16" i="2"/>
  <c r="BE16" i="2"/>
  <c r="BC16" i="2"/>
  <c r="BA16" i="2"/>
  <c r="AZ16" i="2"/>
  <c r="AY16" i="2"/>
  <c r="AW16" i="2"/>
  <c r="AV16" i="2"/>
  <c r="AU16" i="2"/>
  <c r="AT16" i="2"/>
  <c r="AS16" i="2"/>
  <c r="AR16" i="2"/>
  <c r="AP16" i="2"/>
  <c r="AN16" i="2"/>
  <c r="AM16" i="2"/>
  <c r="AL16" i="2"/>
  <c r="AJ16" i="2"/>
  <c r="AI16" i="2"/>
  <c r="AH16" i="2"/>
  <c r="AG16" i="2"/>
  <c r="AF16" i="2"/>
  <c r="AE16" i="2"/>
  <c r="AC16" i="2"/>
  <c r="AA16" i="2"/>
  <c r="Z16" i="2"/>
  <c r="Y16" i="2"/>
  <c r="W16" i="2"/>
  <c r="V16" i="2"/>
  <c r="U16" i="2"/>
  <c r="T16" i="2"/>
  <c r="S16" i="2"/>
  <c r="R16" i="2"/>
  <c r="P16" i="2"/>
  <c r="BU15" i="2"/>
  <c r="BT15" i="2"/>
  <c r="BS15" i="2"/>
  <c r="BR15" i="2"/>
  <c r="BQ15" i="2"/>
  <c r="BP15" i="2"/>
  <c r="BO15" i="2"/>
  <c r="BM15" i="2"/>
  <c r="BK15" i="2"/>
  <c r="BJ15" i="2"/>
  <c r="BI15" i="2"/>
  <c r="BH15" i="2"/>
  <c r="BG15" i="2"/>
  <c r="BF15" i="2"/>
  <c r="BE15" i="2"/>
  <c r="BC15" i="2"/>
  <c r="BA15" i="2"/>
  <c r="AZ15" i="2"/>
  <c r="AY15" i="2"/>
  <c r="AW15" i="2"/>
  <c r="AV15" i="2"/>
  <c r="AU15" i="2"/>
  <c r="AT15" i="2"/>
  <c r="AS15" i="2"/>
  <c r="AR15" i="2"/>
  <c r="AP15" i="2"/>
  <c r="AN15" i="2"/>
  <c r="AM15" i="2"/>
  <c r="AL15" i="2"/>
  <c r="AJ15" i="2"/>
  <c r="AI15" i="2"/>
  <c r="AH15" i="2"/>
  <c r="AG15" i="2"/>
  <c r="AF15" i="2"/>
  <c r="AE15" i="2"/>
  <c r="AC15" i="2"/>
  <c r="AA15" i="2"/>
  <c r="Z15" i="2"/>
  <c r="Y15" i="2"/>
  <c r="W15" i="2"/>
  <c r="V15" i="2"/>
  <c r="U15" i="2"/>
  <c r="T15" i="2"/>
  <c r="S15" i="2"/>
  <c r="R15" i="2"/>
  <c r="P15" i="2"/>
  <c r="BU14" i="2"/>
  <c r="BT14" i="2"/>
  <c r="BS14" i="2"/>
  <c r="BR14" i="2"/>
  <c r="BQ14" i="2"/>
  <c r="BP14" i="2"/>
  <c r="BO14" i="2"/>
  <c r="BM14" i="2"/>
  <c r="BK14" i="2"/>
  <c r="BJ14" i="2"/>
  <c r="BI14" i="2"/>
  <c r="BH14" i="2"/>
  <c r="BG14" i="2"/>
  <c r="BF14" i="2"/>
  <c r="BE14" i="2"/>
  <c r="BC14" i="2"/>
  <c r="BA14" i="2"/>
  <c r="AZ14" i="2"/>
  <c r="AY14" i="2"/>
  <c r="AW14" i="2"/>
  <c r="AV14" i="2"/>
  <c r="AU14" i="2"/>
  <c r="AT14" i="2"/>
  <c r="AS14" i="2"/>
  <c r="AR14" i="2"/>
  <c r="AP14" i="2"/>
  <c r="AN14" i="2"/>
  <c r="AM14" i="2"/>
  <c r="AL14" i="2"/>
  <c r="AJ14" i="2"/>
  <c r="AI14" i="2"/>
  <c r="AH14" i="2"/>
  <c r="AG14" i="2"/>
  <c r="AF14" i="2"/>
  <c r="AE14" i="2"/>
  <c r="AC14" i="2"/>
  <c r="AA14" i="2"/>
  <c r="Z14" i="2"/>
  <c r="Y14" i="2"/>
  <c r="W14" i="2"/>
  <c r="V14" i="2"/>
  <c r="U14" i="2"/>
  <c r="T14" i="2"/>
  <c r="S14" i="2"/>
  <c r="R14" i="2"/>
  <c r="P14" i="2"/>
  <c r="BU13" i="2"/>
  <c r="BT13" i="2"/>
  <c r="BS13" i="2"/>
  <c r="BR13" i="2"/>
  <c r="BQ13" i="2"/>
  <c r="BP13" i="2"/>
  <c r="BO13" i="2"/>
  <c r="BM13" i="2"/>
  <c r="BK13" i="2"/>
  <c r="BJ13" i="2"/>
  <c r="BI13" i="2"/>
  <c r="BH13" i="2"/>
  <c r="BG13" i="2"/>
  <c r="BF13" i="2"/>
  <c r="BE13" i="2"/>
  <c r="BC13" i="2"/>
  <c r="BA13" i="2"/>
  <c r="AZ13" i="2"/>
  <c r="AY13" i="2"/>
  <c r="AW13" i="2"/>
  <c r="AV13" i="2"/>
  <c r="AU13" i="2"/>
  <c r="AT13" i="2"/>
  <c r="AS13" i="2"/>
  <c r="AR13" i="2"/>
  <c r="AP13" i="2"/>
  <c r="AN13" i="2"/>
  <c r="AM13" i="2"/>
  <c r="AL13" i="2"/>
  <c r="AJ13" i="2"/>
  <c r="AI13" i="2"/>
  <c r="AH13" i="2"/>
  <c r="AG13" i="2"/>
  <c r="AF13" i="2"/>
  <c r="AE13" i="2"/>
  <c r="AC13" i="2"/>
  <c r="AA13" i="2"/>
  <c r="Z13" i="2"/>
  <c r="Y13" i="2"/>
  <c r="W13" i="2"/>
  <c r="V13" i="2"/>
  <c r="U13" i="2"/>
  <c r="T13" i="2"/>
  <c r="S13" i="2"/>
  <c r="R13" i="2"/>
  <c r="P13" i="2"/>
  <c r="BU12" i="2"/>
  <c r="BT12" i="2"/>
  <c r="BS12" i="2"/>
  <c r="BR12" i="2"/>
  <c r="BQ12" i="2"/>
  <c r="BP12" i="2"/>
  <c r="BO12" i="2"/>
  <c r="BM12" i="2"/>
  <c r="BK12" i="2"/>
  <c r="BJ12" i="2"/>
  <c r="BI12" i="2"/>
  <c r="BH12" i="2"/>
  <c r="BG12" i="2"/>
  <c r="BF12" i="2"/>
  <c r="BE12" i="2"/>
  <c r="BC12" i="2"/>
  <c r="BA12" i="2"/>
  <c r="AZ12" i="2"/>
  <c r="AY12" i="2"/>
  <c r="AW12" i="2"/>
  <c r="AV12" i="2"/>
  <c r="AU12" i="2"/>
  <c r="AT12" i="2"/>
  <c r="AS12" i="2"/>
  <c r="AR12" i="2"/>
  <c r="AP12" i="2"/>
  <c r="AN12" i="2"/>
  <c r="AM12" i="2"/>
  <c r="AL12" i="2"/>
  <c r="AJ12" i="2"/>
  <c r="AI12" i="2"/>
  <c r="AH12" i="2"/>
  <c r="AG12" i="2"/>
  <c r="AF12" i="2"/>
  <c r="AE12" i="2"/>
  <c r="AC12" i="2"/>
  <c r="AA12" i="2"/>
  <c r="Z12" i="2"/>
  <c r="Y12" i="2"/>
  <c r="W12" i="2"/>
  <c r="V12" i="2"/>
  <c r="U12" i="2"/>
  <c r="T12" i="2"/>
  <c r="S12" i="2"/>
  <c r="R12" i="2"/>
  <c r="P12" i="2"/>
  <c r="BU11" i="2"/>
  <c r="BT11" i="2"/>
  <c r="BS11" i="2"/>
  <c r="BR11" i="2"/>
  <c r="BQ11" i="2"/>
  <c r="BP11" i="2"/>
  <c r="BO11" i="2"/>
  <c r="BM11" i="2"/>
  <c r="BK11" i="2"/>
  <c r="BJ11" i="2"/>
  <c r="BI11" i="2"/>
  <c r="BH11" i="2"/>
  <c r="BG11" i="2"/>
  <c r="BF11" i="2"/>
  <c r="BE11" i="2"/>
  <c r="BC11" i="2"/>
  <c r="BA11" i="2"/>
  <c r="AZ11" i="2"/>
  <c r="AY11" i="2"/>
  <c r="AW11" i="2"/>
  <c r="AV11" i="2"/>
  <c r="AU11" i="2"/>
  <c r="AT11" i="2"/>
  <c r="AS11" i="2"/>
  <c r="AR11" i="2"/>
  <c r="AP11" i="2"/>
  <c r="AN11" i="2"/>
  <c r="AM11" i="2"/>
  <c r="AL11" i="2"/>
  <c r="AJ11" i="2"/>
  <c r="AI11" i="2"/>
  <c r="AH11" i="2"/>
  <c r="AG11" i="2"/>
  <c r="AF11" i="2"/>
  <c r="AE11" i="2"/>
  <c r="AC11" i="2"/>
  <c r="AA11" i="2"/>
  <c r="Z11" i="2"/>
  <c r="Y11" i="2"/>
  <c r="W11" i="2"/>
  <c r="V11" i="2"/>
  <c r="U11" i="2"/>
  <c r="T11" i="2"/>
  <c r="S11" i="2"/>
  <c r="R11" i="2"/>
  <c r="P11" i="2"/>
  <c r="BU10" i="2"/>
  <c r="BT10" i="2"/>
  <c r="BS10" i="2"/>
  <c r="BR10" i="2"/>
  <c r="BQ10" i="2"/>
  <c r="BP10" i="2"/>
  <c r="BO10" i="2"/>
  <c r="BM10" i="2"/>
  <c r="BK10" i="2"/>
  <c r="BJ10" i="2"/>
  <c r="BI10" i="2"/>
  <c r="BH10" i="2"/>
  <c r="BG10" i="2"/>
  <c r="BF10" i="2"/>
  <c r="BE10" i="2"/>
  <c r="BC10" i="2"/>
  <c r="BA10" i="2"/>
  <c r="AZ10" i="2"/>
  <c r="AY10" i="2"/>
  <c r="AW10" i="2"/>
  <c r="AV10" i="2"/>
  <c r="AU10" i="2"/>
  <c r="AT10" i="2"/>
  <c r="AS10" i="2"/>
  <c r="AR10" i="2"/>
  <c r="AP10" i="2"/>
  <c r="AN10" i="2"/>
  <c r="AM10" i="2"/>
  <c r="AL10" i="2"/>
  <c r="AJ10" i="2"/>
  <c r="AI10" i="2"/>
  <c r="AH10" i="2"/>
  <c r="AG10" i="2"/>
  <c r="AF10" i="2"/>
  <c r="AE10" i="2"/>
  <c r="AC10" i="2"/>
  <c r="AA10" i="2"/>
  <c r="Z10" i="2"/>
  <c r="Y10" i="2"/>
  <c r="W10" i="2"/>
  <c r="V10" i="2"/>
  <c r="U10" i="2"/>
  <c r="T10" i="2"/>
  <c r="S10" i="2"/>
  <c r="R10" i="2"/>
  <c r="P10" i="2"/>
  <c r="BU9" i="2"/>
  <c r="BT9" i="2"/>
  <c r="BS9" i="2"/>
  <c r="BR9" i="2"/>
  <c r="BQ9" i="2"/>
  <c r="BP9" i="2"/>
  <c r="BO9" i="2"/>
  <c r="BM9" i="2"/>
  <c r="BK9" i="2"/>
  <c r="BJ9" i="2"/>
  <c r="BI9" i="2"/>
  <c r="BH9" i="2"/>
  <c r="BG9" i="2"/>
  <c r="BF9" i="2"/>
  <c r="BE9" i="2"/>
  <c r="BC9" i="2"/>
  <c r="BA9" i="2"/>
  <c r="AZ9" i="2"/>
  <c r="AY9" i="2"/>
  <c r="AW9" i="2"/>
  <c r="AV9" i="2"/>
  <c r="AU9" i="2"/>
  <c r="AT9" i="2"/>
  <c r="AS9" i="2"/>
  <c r="AR9" i="2"/>
  <c r="AP9" i="2"/>
  <c r="AN9" i="2"/>
  <c r="AM9" i="2"/>
  <c r="AL9" i="2"/>
  <c r="AJ9" i="2"/>
  <c r="AI9" i="2"/>
  <c r="AH9" i="2"/>
  <c r="AG9" i="2"/>
  <c r="AF9" i="2"/>
  <c r="AE9" i="2"/>
  <c r="AC9" i="2"/>
  <c r="AA9" i="2"/>
  <c r="Z9" i="2"/>
  <c r="Y9" i="2"/>
  <c r="W9" i="2"/>
  <c r="V9" i="2"/>
  <c r="U9" i="2"/>
  <c r="T9" i="2"/>
  <c r="S9" i="2"/>
  <c r="R9" i="2"/>
  <c r="P9" i="2"/>
  <c r="BU8" i="2"/>
  <c r="BT8" i="2"/>
  <c r="BS8" i="2"/>
  <c r="BR8" i="2"/>
  <c r="BQ8" i="2"/>
  <c r="BP8" i="2"/>
  <c r="BO8" i="2"/>
  <c r="BM8" i="2"/>
  <c r="BK8" i="2"/>
  <c r="BJ8" i="2"/>
  <c r="BI8" i="2"/>
  <c r="BH8" i="2"/>
  <c r="BG8" i="2"/>
  <c r="BF8" i="2"/>
  <c r="BE8" i="2"/>
  <c r="BC8" i="2"/>
  <c r="BA8" i="2"/>
  <c r="AZ8" i="2"/>
  <c r="AY8" i="2"/>
  <c r="AW8" i="2"/>
  <c r="AV8" i="2"/>
  <c r="AU8" i="2"/>
  <c r="AT8" i="2"/>
  <c r="AS8" i="2"/>
  <c r="AR8" i="2"/>
  <c r="AP8" i="2"/>
  <c r="AN8" i="2"/>
  <c r="AM8" i="2"/>
  <c r="AL8" i="2"/>
  <c r="AJ8" i="2"/>
  <c r="AI8" i="2"/>
  <c r="AH8" i="2"/>
  <c r="AG8" i="2"/>
  <c r="AF8" i="2"/>
  <c r="AE8" i="2"/>
  <c r="AC8" i="2"/>
  <c r="AA8" i="2"/>
  <c r="Z8" i="2"/>
  <c r="Y8" i="2"/>
  <c r="W8" i="2"/>
  <c r="V8" i="2"/>
  <c r="U8" i="2"/>
  <c r="T8" i="2"/>
  <c r="S8" i="2"/>
  <c r="R8" i="2"/>
  <c r="P8" i="2"/>
  <c r="AF547" i="1"/>
  <c r="AA547" i="1"/>
  <c r="U547" i="1"/>
  <c r="P547" i="1"/>
  <c r="J547" i="1"/>
  <c r="AF546" i="1"/>
  <c r="AA546" i="1"/>
  <c r="U546" i="1"/>
  <c r="Q546" i="1"/>
  <c r="P546" i="1" s="1"/>
  <c r="J546" i="1"/>
  <c r="AA545" i="1"/>
  <c r="U545" i="1"/>
  <c r="P545" i="1"/>
  <c r="J545" i="1"/>
  <c r="AA544" i="1"/>
  <c r="U544" i="1"/>
  <c r="P544" i="1"/>
  <c r="J544" i="1"/>
  <c r="AA543" i="1"/>
  <c r="U543" i="1"/>
  <c r="P543" i="1"/>
  <c r="J543" i="1"/>
  <c r="AA542" i="1"/>
  <c r="U542" i="1"/>
  <c r="P542" i="1"/>
  <c r="J542" i="1"/>
  <c r="U541" i="1"/>
  <c r="T541" i="1" s="1"/>
  <c r="P541" i="1"/>
  <c r="J541" i="1"/>
  <c r="AA540" i="1"/>
  <c r="U540" i="1"/>
  <c r="P540" i="1"/>
  <c r="J540" i="1"/>
  <c r="AA539" i="1"/>
  <c r="U539" i="1"/>
  <c r="P539" i="1"/>
  <c r="J539" i="1"/>
  <c r="AA538" i="1"/>
  <c r="U538" i="1"/>
  <c r="P538" i="1"/>
  <c r="J538" i="1"/>
  <c r="T537" i="1"/>
  <c r="AE537" i="1" s="1"/>
  <c r="AA536" i="1"/>
  <c r="U536" i="1"/>
  <c r="P536" i="1"/>
  <c r="J536" i="1"/>
  <c r="U535" i="1"/>
  <c r="T535" i="1" s="1"/>
  <c r="P535" i="1"/>
  <c r="J535" i="1"/>
  <c r="AA534" i="1"/>
  <c r="U534" i="1"/>
  <c r="P534" i="1"/>
  <c r="J534" i="1"/>
  <c r="AA533" i="1"/>
  <c r="U533" i="1"/>
  <c r="P533" i="1"/>
  <c r="J533" i="1"/>
  <c r="U532" i="1"/>
  <c r="P532" i="1"/>
  <c r="J532" i="1"/>
  <c r="AA531" i="1"/>
  <c r="U531" i="1"/>
  <c r="P531" i="1"/>
  <c r="J531" i="1"/>
  <c r="AA530" i="1"/>
  <c r="U530" i="1"/>
  <c r="P530" i="1"/>
  <c r="J530" i="1"/>
  <c r="U529" i="1"/>
  <c r="P529" i="1"/>
  <c r="J529" i="1"/>
  <c r="AA528" i="1"/>
  <c r="W528" i="1"/>
  <c r="U528" i="1" s="1"/>
  <c r="P528" i="1"/>
  <c r="J528" i="1"/>
  <c r="AA527" i="1"/>
  <c r="U527" i="1"/>
  <c r="P527" i="1"/>
  <c r="J527" i="1"/>
  <c r="AA526" i="1"/>
  <c r="X526" i="1"/>
  <c r="W526" i="1"/>
  <c r="P526" i="1"/>
  <c r="J526" i="1"/>
  <c r="AA525" i="1"/>
  <c r="U525" i="1"/>
  <c r="P525" i="1"/>
  <c r="J525" i="1"/>
  <c r="T524" i="1"/>
  <c r="J524" i="1"/>
  <c r="U523" i="1"/>
  <c r="P523" i="1"/>
  <c r="J523" i="1"/>
  <c r="U522" i="1"/>
  <c r="P522" i="1"/>
  <c r="J522" i="1"/>
  <c r="U517" i="1"/>
  <c r="P517" i="1"/>
  <c r="J517" i="1"/>
  <c r="AA516" i="1"/>
  <c r="U516" i="1"/>
  <c r="P516" i="1"/>
  <c r="J516" i="1"/>
  <c r="AA515" i="1"/>
  <c r="U515" i="1"/>
  <c r="P515" i="1"/>
  <c r="J515" i="1"/>
  <c r="AA514" i="1"/>
  <c r="U514" i="1"/>
  <c r="P514" i="1"/>
  <c r="J514" i="1"/>
  <c r="T513" i="1"/>
  <c r="J513" i="1"/>
  <c r="AA512" i="1"/>
  <c r="U512" i="1"/>
  <c r="P512" i="1"/>
  <c r="J512" i="1"/>
  <c r="AA511" i="1"/>
  <c r="U511" i="1"/>
  <c r="J511" i="1"/>
  <c r="AA510" i="1"/>
  <c r="U510" i="1"/>
  <c r="P510" i="1"/>
  <c r="J510" i="1"/>
  <c r="AA509" i="1"/>
  <c r="U509" i="1"/>
  <c r="P509" i="1"/>
  <c r="J509" i="1"/>
  <c r="AA508" i="1"/>
  <c r="U508" i="1"/>
  <c r="J508" i="1"/>
  <c r="T507" i="1"/>
  <c r="AE507" i="1" s="1"/>
  <c r="AA506" i="1"/>
  <c r="U506" i="1"/>
  <c r="P506" i="1"/>
  <c r="AA505" i="1"/>
  <c r="U505" i="1"/>
  <c r="P505" i="1"/>
  <c r="J505" i="1"/>
  <c r="T504" i="1"/>
  <c r="AE504" i="1" s="1"/>
  <c r="AA503" i="1"/>
  <c r="U503" i="1"/>
  <c r="J503" i="1"/>
  <c r="AA502" i="1"/>
  <c r="X502" i="1"/>
  <c r="U502" i="1" s="1"/>
  <c r="J502" i="1"/>
  <c r="AA501" i="1"/>
  <c r="U501" i="1"/>
  <c r="J501" i="1"/>
  <c r="AA500" i="1"/>
  <c r="U500" i="1"/>
  <c r="J500" i="1"/>
  <c r="U499" i="1"/>
  <c r="T499" i="1" s="1"/>
  <c r="AE499" i="1" s="1"/>
  <c r="X498" i="1"/>
  <c r="U498" i="1" s="1"/>
  <c r="S498" i="1"/>
  <c r="S5" i="1" s="1"/>
  <c r="J498" i="1"/>
  <c r="AA497" i="1"/>
  <c r="W497" i="1"/>
  <c r="U497" i="1" s="1"/>
  <c r="J497" i="1"/>
  <c r="AA496" i="1"/>
  <c r="W496" i="1"/>
  <c r="V496" i="1"/>
  <c r="J496" i="1"/>
  <c r="X495" i="1"/>
  <c r="U495" i="1" s="1"/>
  <c r="T495" i="1" s="1"/>
  <c r="AE495" i="1" s="1"/>
  <c r="AA494" i="1"/>
  <c r="U494" i="1"/>
  <c r="J494" i="1"/>
  <c r="AA493" i="1"/>
  <c r="U493" i="1"/>
  <c r="P493" i="1"/>
  <c r="J493" i="1"/>
  <c r="AA492" i="1"/>
  <c r="U492" i="1"/>
  <c r="P492" i="1"/>
  <c r="J492" i="1"/>
  <c r="AA491" i="1"/>
  <c r="U491" i="1"/>
  <c r="P491" i="1"/>
  <c r="J491" i="1"/>
  <c r="U490" i="1"/>
  <c r="T490" i="1" s="1"/>
  <c r="P490" i="1"/>
  <c r="J490" i="1"/>
  <c r="AA489" i="1"/>
  <c r="U489" i="1"/>
  <c r="P489" i="1"/>
  <c r="J489" i="1"/>
  <c r="U488" i="1"/>
  <c r="T488" i="1" s="1"/>
  <c r="J488" i="1"/>
  <c r="T487" i="1"/>
  <c r="J487" i="1"/>
  <c r="T486" i="1"/>
  <c r="J486" i="1"/>
  <c r="T485" i="1"/>
  <c r="AE485" i="1" s="1"/>
  <c r="T484" i="1"/>
  <c r="J484" i="1"/>
  <c r="T483" i="1"/>
  <c r="J483" i="1"/>
  <c r="T482" i="1"/>
  <c r="J482" i="1"/>
  <c r="T481" i="1"/>
  <c r="J481" i="1"/>
  <c r="T480" i="1"/>
  <c r="J480" i="1"/>
  <c r="AA468" i="1"/>
  <c r="U468" i="1"/>
  <c r="P468" i="1"/>
  <c r="J468" i="1"/>
  <c r="AA467" i="1"/>
  <c r="U467" i="1"/>
  <c r="P467" i="1"/>
  <c r="J467" i="1"/>
  <c r="U466" i="1"/>
  <c r="T466" i="1" s="1"/>
  <c r="P466" i="1"/>
  <c r="J466" i="1"/>
  <c r="AA465" i="1"/>
  <c r="U465" i="1"/>
  <c r="P465" i="1"/>
  <c r="J465" i="1"/>
  <c r="U464" i="1"/>
  <c r="T464" i="1" s="1"/>
  <c r="P464" i="1"/>
  <c r="J464" i="1"/>
  <c r="AA463" i="1"/>
  <c r="U463" i="1"/>
  <c r="P463" i="1"/>
  <c r="J463" i="1"/>
  <c r="U462" i="1"/>
  <c r="T462" i="1" s="1"/>
  <c r="P462" i="1"/>
  <c r="J462" i="1"/>
  <c r="AA461" i="1"/>
  <c r="U461" i="1"/>
  <c r="P461" i="1"/>
  <c r="J461" i="1"/>
  <c r="AA460" i="1"/>
  <c r="U460" i="1"/>
  <c r="P460" i="1"/>
  <c r="J460" i="1"/>
  <c r="AA459" i="1"/>
  <c r="U459" i="1"/>
  <c r="P459" i="1"/>
  <c r="J459" i="1"/>
  <c r="AA458" i="1"/>
  <c r="U458" i="1"/>
  <c r="P458" i="1"/>
  <c r="J458" i="1"/>
  <c r="AA457" i="1"/>
  <c r="T457" i="1" s="1"/>
  <c r="W457" i="1"/>
  <c r="J457" i="1"/>
  <c r="T456" i="1"/>
  <c r="J456" i="1"/>
  <c r="T455" i="1"/>
  <c r="J455" i="1"/>
  <c r="AA454" i="1"/>
  <c r="X454" i="1"/>
  <c r="U454" i="1" s="1"/>
  <c r="P454" i="1"/>
  <c r="J454" i="1"/>
  <c r="U453" i="1"/>
  <c r="P453" i="1"/>
  <c r="U452" i="1"/>
  <c r="T452" i="1" s="1"/>
  <c r="P452" i="1"/>
  <c r="J452" i="1"/>
  <c r="T451" i="1"/>
  <c r="AE451" i="1" s="1"/>
  <c r="T450" i="1"/>
  <c r="AE450" i="1" s="1"/>
  <c r="T449" i="1"/>
  <c r="AE449" i="1" s="1"/>
  <c r="T448" i="1"/>
  <c r="AE448" i="1" s="1"/>
  <c r="T447" i="1"/>
  <c r="AE447" i="1" s="1"/>
  <c r="T446" i="1"/>
  <c r="AE446" i="1" s="1"/>
  <c r="T445" i="1"/>
  <c r="AE445" i="1" s="1"/>
  <c r="T444" i="1"/>
  <c r="AE444" i="1" s="1"/>
  <c r="T440" i="1"/>
  <c r="J440" i="1"/>
  <c r="T439" i="1"/>
  <c r="J439" i="1"/>
  <c r="U438" i="1"/>
  <c r="T438" i="1" s="1"/>
  <c r="J438" i="1"/>
  <c r="AE437" i="1"/>
  <c r="AE436" i="1"/>
  <c r="AA434" i="1"/>
  <c r="U434" i="1"/>
  <c r="P434" i="1"/>
  <c r="J434" i="1"/>
  <c r="AA433" i="1"/>
  <c r="W433" i="1"/>
  <c r="V433" i="1"/>
  <c r="P433" i="1"/>
  <c r="J433" i="1"/>
  <c r="T432" i="1"/>
  <c r="AE432" i="1" s="1"/>
  <c r="Y431" i="1"/>
  <c r="X431" i="1"/>
  <c r="W431" i="1"/>
  <c r="Y430" i="1"/>
  <c r="X430" i="1"/>
  <c r="W430" i="1"/>
  <c r="T429" i="1"/>
  <c r="AE429" i="1" s="1"/>
  <c r="AA428" i="1"/>
  <c r="U428" i="1"/>
  <c r="J428" i="1"/>
  <c r="AA427" i="1"/>
  <c r="U427" i="1"/>
  <c r="J427" i="1"/>
  <c r="T426" i="1"/>
  <c r="J426" i="1"/>
  <c r="T425" i="1"/>
  <c r="AE425" i="1" s="1"/>
  <c r="T424" i="1"/>
  <c r="AE424" i="1" s="1"/>
  <c r="T423" i="1"/>
  <c r="AE423" i="1" s="1"/>
  <c r="AA422" i="1"/>
  <c r="U422" i="1"/>
  <c r="J422" i="1"/>
  <c r="AE421" i="1"/>
  <c r="AE420" i="1"/>
  <c r="U419" i="1"/>
  <c r="T419" i="1" s="1"/>
  <c r="J419" i="1"/>
  <c r="U418" i="1"/>
  <c r="T418" i="1" s="1"/>
  <c r="AE418" i="1" s="1"/>
  <c r="AA417" i="1"/>
  <c r="U417" i="1"/>
  <c r="P417" i="1"/>
  <c r="J417" i="1"/>
  <c r="AA416" i="1"/>
  <c r="U416" i="1"/>
  <c r="P416" i="1"/>
  <c r="J416" i="1"/>
  <c r="AA415" i="1"/>
  <c r="U415" i="1"/>
  <c r="P415" i="1"/>
  <c r="J415" i="1"/>
  <c r="U414" i="1"/>
  <c r="T414" i="1" s="1"/>
  <c r="P414" i="1"/>
  <c r="J414" i="1"/>
  <c r="U413" i="1"/>
  <c r="T413" i="1" s="1"/>
  <c r="P413" i="1"/>
  <c r="J413" i="1"/>
  <c r="U412" i="1"/>
  <c r="T412" i="1" s="1"/>
  <c r="P412" i="1"/>
  <c r="J412" i="1"/>
  <c r="U411" i="1"/>
  <c r="T411" i="1" s="1"/>
  <c r="P411" i="1"/>
  <c r="J411" i="1"/>
  <c r="U410" i="1"/>
  <c r="T410" i="1" s="1"/>
  <c r="P410" i="1"/>
  <c r="J410" i="1"/>
  <c r="AA409" i="1"/>
  <c r="U409" i="1"/>
  <c r="P409" i="1"/>
  <c r="J409" i="1"/>
  <c r="U408" i="1"/>
  <c r="P408" i="1"/>
  <c r="J408" i="1"/>
  <c r="AA407" i="1"/>
  <c r="T407" i="1" s="1"/>
  <c r="AE407" i="1" s="1"/>
  <c r="U406" i="1"/>
  <c r="T405" i="1"/>
  <c r="AE405" i="1" s="1"/>
  <c r="Y404" i="1"/>
  <c r="X404" i="1"/>
  <c r="T404" i="1"/>
  <c r="AE404" i="1" s="1"/>
  <c r="U403" i="1"/>
  <c r="T403" i="1" s="1"/>
  <c r="AE403" i="1" s="1"/>
  <c r="T402" i="1"/>
  <c r="AE402" i="1" s="1"/>
  <c r="T401" i="1"/>
  <c r="AE401" i="1" s="1"/>
  <c r="T400" i="1"/>
  <c r="AE400" i="1" s="1"/>
  <c r="T399" i="1"/>
  <c r="AE399" i="1" s="1"/>
  <c r="AF398" i="1"/>
  <c r="T398" i="1"/>
  <c r="AE398" i="1" s="1"/>
  <c r="L398" i="1"/>
  <c r="I398" i="1"/>
  <c r="I5" i="1" s="1"/>
  <c r="T397" i="1"/>
  <c r="AE397" i="1" s="1"/>
  <c r="L397" i="1"/>
  <c r="AF396" i="1"/>
  <c r="T396" i="1"/>
  <c r="AE396" i="1" s="1"/>
  <c r="T395" i="1"/>
  <c r="J395" i="1"/>
  <c r="T394" i="1"/>
  <c r="AE394" i="1" s="1"/>
  <c r="AA393" i="1"/>
  <c r="U393" i="1"/>
  <c r="P393" i="1"/>
  <c r="J393" i="1"/>
  <c r="AA392" i="1"/>
  <c r="U392" i="1"/>
  <c r="P392" i="1"/>
  <c r="J392" i="1"/>
  <c r="U391" i="1"/>
  <c r="P391" i="1"/>
  <c r="J391" i="1"/>
  <c r="X390" i="1"/>
  <c r="W390" i="1"/>
  <c r="J390" i="1"/>
  <c r="U389" i="1"/>
  <c r="T389" i="1" s="1"/>
  <c r="P389" i="1"/>
  <c r="J389" i="1"/>
  <c r="AA388" i="1"/>
  <c r="X388" i="1"/>
  <c r="U388" i="1" s="1"/>
  <c r="P388" i="1"/>
  <c r="J388" i="1"/>
  <c r="U387" i="1"/>
  <c r="T387" i="1" s="1"/>
  <c r="P387" i="1"/>
  <c r="J387" i="1"/>
  <c r="U386" i="1"/>
  <c r="T386" i="1" s="1"/>
  <c r="P386" i="1"/>
  <c r="J386" i="1"/>
  <c r="U385" i="1"/>
  <c r="P385" i="1"/>
  <c r="J385" i="1"/>
  <c r="U384" i="1"/>
  <c r="T384" i="1" s="1"/>
  <c r="P384" i="1"/>
  <c r="J384" i="1"/>
  <c r="U383" i="1"/>
  <c r="T383" i="1" s="1"/>
  <c r="P383" i="1"/>
  <c r="J383" i="1"/>
  <c r="U382" i="1"/>
  <c r="T382" i="1" s="1"/>
  <c r="P382" i="1"/>
  <c r="J382" i="1"/>
  <c r="T381" i="1"/>
  <c r="J381" i="1"/>
  <c r="T380" i="1"/>
  <c r="J380" i="1"/>
  <c r="U379" i="1"/>
  <c r="T379" i="1" s="1"/>
  <c r="P379" i="1"/>
  <c r="J379" i="1"/>
  <c r="U378" i="1"/>
  <c r="T378" i="1" s="1"/>
  <c r="P378" i="1"/>
  <c r="J378" i="1"/>
  <c r="U377" i="1"/>
  <c r="T377" i="1" s="1"/>
  <c r="P377" i="1"/>
  <c r="J377" i="1"/>
  <c r="U376" i="1"/>
  <c r="T376" i="1" s="1"/>
  <c r="P376" i="1"/>
  <c r="J376" i="1"/>
  <c r="T375" i="1"/>
  <c r="U374" i="1"/>
  <c r="P374" i="1"/>
  <c r="J374" i="1"/>
  <c r="T373" i="1"/>
  <c r="P373" i="1"/>
  <c r="J373" i="1"/>
  <c r="T372" i="1"/>
  <c r="AE372" i="1" s="1"/>
  <c r="U371" i="1"/>
  <c r="T371" i="1" s="1"/>
  <c r="P371" i="1"/>
  <c r="J371" i="1"/>
  <c r="T370" i="1"/>
  <c r="AE370" i="1" s="1"/>
  <c r="T368" i="1"/>
  <c r="J368" i="1"/>
  <c r="T367" i="1"/>
  <c r="J367" i="1"/>
  <c r="T366" i="1"/>
  <c r="J366" i="1"/>
  <c r="T365" i="1"/>
  <c r="J365" i="1"/>
  <c r="T364" i="1"/>
  <c r="J364" i="1"/>
  <c r="T363" i="1"/>
  <c r="J363" i="1"/>
  <c r="T362" i="1"/>
  <c r="J362" i="1"/>
  <c r="T361" i="1"/>
  <c r="J361" i="1"/>
  <c r="T360" i="1"/>
  <c r="J360" i="1"/>
  <c r="T359" i="1"/>
  <c r="L359" i="1"/>
  <c r="J359" i="1" s="1"/>
  <c r="T358" i="1"/>
  <c r="J358" i="1"/>
  <c r="T357" i="1"/>
  <c r="J357" i="1"/>
  <c r="T369" i="1"/>
  <c r="J369" i="1"/>
  <c r="T356" i="1"/>
  <c r="J356" i="1"/>
  <c r="T355" i="1"/>
  <c r="J355" i="1"/>
  <c r="T354" i="1"/>
  <c r="J354" i="1"/>
  <c r="T353" i="1"/>
  <c r="J353" i="1"/>
  <c r="T352" i="1"/>
  <c r="J352" i="1"/>
  <c r="T351" i="1"/>
  <c r="J351" i="1"/>
  <c r="T350" i="1"/>
  <c r="J350" i="1"/>
  <c r="T349" i="1"/>
  <c r="J349" i="1"/>
  <c r="T348" i="1"/>
  <c r="AE348" i="1" s="1"/>
  <c r="T347" i="1"/>
  <c r="J347" i="1"/>
  <c r="T346" i="1"/>
  <c r="AE346" i="1" s="1"/>
  <c r="T345" i="1"/>
  <c r="AE345" i="1" s="1"/>
  <c r="T344" i="1"/>
  <c r="AE344" i="1" s="1"/>
  <c r="T343" i="1"/>
  <c r="AE343" i="1" s="1"/>
  <c r="T342" i="1"/>
  <c r="AE342" i="1" s="1"/>
  <c r="T341" i="1"/>
  <c r="AE341" i="1" s="1"/>
  <c r="T340" i="1"/>
  <c r="AE340" i="1" s="1"/>
  <c r="T339" i="1"/>
  <c r="AE339" i="1" s="1"/>
  <c r="T338" i="1"/>
  <c r="AE338" i="1" s="1"/>
  <c r="T337" i="1"/>
  <c r="AE337" i="1" s="1"/>
  <c r="T336" i="1"/>
  <c r="AE336" i="1" s="1"/>
  <c r="T335" i="1"/>
  <c r="AE335" i="1" s="1"/>
  <c r="T334" i="1"/>
  <c r="AE334" i="1" s="1"/>
  <c r="T333" i="1"/>
  <c r="AE333" i="1" s="1"/>
  <c r="T332" i="1"/>
  <c r="AE332" i="1" s="1"/>
  <c r="T331" i="1"/>
  <c r="J331" i="1"/>
  <c r="T330" i="1"/>
  <c r="J330" i="1"/>
  <c r="T329" i="1"/>
  <c r="J329" i="1"/>
  <c r="T328" i="1"/>
  <c r="J328" i="1"/>
  <c r="T327" i="1"/>
  <c r="AE327" i="1" s="1"/>
  <c r="T326" i="1"/>
  <c r="J326" i="1"/>
  <c r="T325" i="1"/>
  <c r="J325" i="1"/>
  <c r="T324" i="1"/>
  <c r="J324" i="1"/>
  <c r="T323" i="1"/>
  <c r="AE323" i="1" s="1"/>
  <c r="T322" i="1"/>
  <c r="AE322" i="1" s="1"/>
  <c r="T321" i="1"/>
  <c r="AE321" i="1" s="1"/>
  <c r="T320" i="1"/>
  <c r="AE320" i="1" s="1"/>
  <c r="T319" i="1"/>
  <c r="J319" i="1"/>
  <c r="T318" i="1"/>
  <c r="J318" i="1"/>
  <c r="T317" i="1"/>
  <c r="J317" i="1"/>
  <c r="T316" i="1"/>
  <c r="J316" i="1"/>
  <c r="T315" i="1"/>
  <c r="J315" i="1"/>
  <c r="T314" i="1"/>
  <c r="T313" i="1"/>
  <c r="T312" i="1"/>
  <c r="J312" i="1"/>
  <c r="T311" i="1"/>
  <c r="J311" i="1"/>
  <c r="T310" i="1"/>
  <c r="AE310" i="1" s="1"/>
  <c r="T309" i="1"/>
  <c r="AE309" i="1" s="1"/>
  <c r="T308" i="1"/>
  <c r="AE308" i="1" s="1"/>
  <c r="T307" i="1"/>
  <c r="AE307" i="1" s="1"/>
  <c r="T306" i="1"/>
  <c r="J306" i="1"/>
  <c r="T305" i="1"/>
  <c r="AE305" i="1" s="1"/>
  <c r="T304" i="1"/>
  <c r="J304" i="1"/>
  <c r="T303" i="1"/>
  <c r="J303" i="1"/>
  <c r="T302" i="1"/>
  <c r="J302" i="1"/>
  <c r="T301" i="1"/>
  <c r="J301" i="1"/>
  <c r="T300" i="1"/>
  <c r="J300" i="1"/>
  <c r="T299" i="1"/>
  <c r="AE299" i="1" s="1"/>
  <c r="T298" i="1"/>
  <c r="J298" i="1"/>
  <c r="T297" i="1"/>
  <c r="AE297" i="1" s="1"/>
  <c r="T296" i="1"/>
  <c r="AE296" i="1" s="1"/>
  <c r="AE295" i="1"/>
  <c r="AE294" i="1"/>
  <c r="AE293" i="1"/>
  <c r="AE292" i="1"/>
  <c r="AE291" i="1"/>
  <c r="AE290" i="1"/>
  <c r="AE289" i="1"/>
  <c r="AE288" i="1"/>
  <c r="AE287" i="1"/>
  <c r="AE286" i="1"/>
  <c r="AE285" i="1"/>
  <c r="AE284" i="1"/>
  <c r="AE270" i="1"/>
  <c r="AE283" i="1"/>
  <c r="AE282" i="1"/>
  <c r="AE281" i="1"/>
  <c r="AE280" i="1"/>
  <c r="T279" i="1"/>
  <c r="AE279" i="1" s="1"/>
  <c r="T278" i="1"/>
  <c r="AE278" i="1" s="1"/>
  <c r="AE277" i="1"/>
  <c r="AE276" i="1"/>
  <c r="AE275" i="1"/>
  <c r="T271" i="1"/>
  <c r="AE271" i="1" s="1"/>
  <c r="AE269" i="1"/>
  <c r="AE268" i="1"/>
  <c r="AE267" i="1"/>
  <c r="AE266" i="1"/>
  <c r="AE265" i="1"/>
  <c r="AE264" i="1"/>
  <c r="AE274" i="1"/>
  <c r="AE273" i="1"/>
  <c r="AE272" i="1"/>
  <c r="U263" i="1"/>
  <c r="T263" i="1" s="1"/>
  <c r="P263" i="1"/>
  <c r="J263" i="1"/>
  <c r="U262" i="1"/>
  <c r="T262" i="1" s="1"/>
  <c r="P262" i="1"/>
  <c r="J262" i="1"/>
  <c r="U261" i="1"/>
  <c r="T261" i="1" s="1"/>
  <c r="P261" i="1"/>
  <c r="J261" i="1"/>
  <c r="U260" i="1"/>
  <c r="T260" i="1" s="1"/>
  <c r="P260" i="1"/>
  <c r="J260" i="1"/>
  <c r="U259" i="1"/>
  <c r="T259" i="1" s="1"/>
  <c r="P259" i="1"/>
  <c r="J259" i="1"/>
  <c r="U258" i="1"/>
  <c r="T258" i="1" s="1"/>
  <c r="P258" i="1"/>
  <c r="J258" i="1"/>
  <c r="AA257" i="1"/>
  <c r="U257" i="1"/>
  <c r="P257" i="1"/>
  <c r="J257" i="1"/>
  <c r="U256" i="1"/>
  <c r="T256" i="1" s="1"/>
  <c r="P256" i="1"/>
  <c r="J256" i="1"/>
  <c r="U255" i="1"/>
  <c r="T255" i="1" s="1"/>
  <c r="P255" i="1"/>
  <c r="J255" i="1"/>
  <c r="U254" i="1"/>
  <c r="T254" i="1" s="1"/>
  <c r="P254" i="1"/>
  <c r="J254" i="1"/>
  <c r="U253" i="1"/>
  <c r="T253" i="1" s="1"/>
  <c r="P253" i="1"/>
  <c r="J253" i="1"/>
  <c r="U252" i="1"/>
  <c r="T252" i="1" s="1"/>
  <c r="P252" i="1"/>
  <c r="J252" i="1"/>
  <c r="U251" i="1"/>
  <c r="T251" i="1" s="1"/>
  <c r="P251" i="1"/>
  <c r="J251" i="1"/>
  <c r="U250" i="1"/>
  <c r="T250" i="1" s="1"/>
  <c r="P250" i="1"/>
  <c r="J250" i="1"/>
  <c r="U249" i="1"/>
  <c r="T249" i="1" s="1"/>
  <c r="P249" i="1"/>
  <c r="J249" i="1"/>
  <c r="U248" i="1"/>
  <c r="T248" i="1" s="1"/>
  <c r="P248" i="1"/>
  <c r="J248" i="1"/>
  <c r="U247" i="1"/>
  <c r="T247" i="1" s="1"/>
  <c r="P247" i="1"/>
  <c r="J247" i="1"/>
  <c r="U246" i="1"/>
  <c r="T246" i="1" s="1"/>
  <c r="P246" i="1"/>
  <c r="J246" i="1"/>
  <c r="AA245" i="1"/>
  <c r="U245" i="1"/>
  <c r="J245" i="1"/>
  <c r="U244" i="1"/>
  <c r="T244" i="1" s="1"/>
  <c r="P244" i="1"/>
  <c r="AA243" i="1"/>
  <c r="U243" i="1"/>
  <c r="P243" i="1"/>
  <c r="J243" i="1"/>
  <c r="U242" i="1"/>
  <c r="T242" i="1" s="1"/>
  <c r="P242" i="1"/>
  <c r="J242" i="1"/>
  <c r="U241" i="1"/>
  <c r="T241" i="1" s="1"/>
  <c r="P241" i="1"/>
  <c r="J241" i="1"/>
  <c r="U240" i="1"/>
  <c r="T240" i="1" s="1"/>
  <c r="P240" i="1"/>
  <c r="J240" i="1"/>
  <c r="T239" i="1"/>
  <c r="R239" i="1"/>
  <c r="J239" i="1"/>
  <c r="Y238" i="1"/>
  <c r="X238" i="1"/>
  <c r="W238" i="1"/>
  <c r="R238" i="1"/>
  <c r="J238" i="1"/>
  <c r="T236" i="1"/>
  <c r="J236" i="1"/>
  <c r="T235" i="1"/>
  <c r="J235" i="1"/>
  <c r="T234" i="1"/>
  <c r="J234" i="1"/>
  <c r="T237" i="1"/>
  <c r="J237" i="1"/>
  <c r="T233" i="1"/>
  <c r="J233" i="1"/>
  <c r="T232" i="1"/>
  <c r="J232" i="1"/>
  <c r="T231" i="1"/>
  <c r="J231" i="1"/>
  <c r="T230" i="1"/>
  <c r="J230" i="1"/>
  <c r="T227" i="1"/>
  <c r="J227" i="1"/>
  <c r="T229" i="1"/>
  <c r="J229" i="1"/>
  <c r="T226" i="1"/>
  <c r="J226" i="1"/>
  <c r="T228" i="1"/>
  <c r="J228" i="1"/>
  <c r="T225" i="1"/>
  <c r="J225" i="1"/>
  <c r="T224" i="1"/>
  <c r="J224" i="1"/>
  <c r="T223" i="1"/>
  <c r="J223" i="1"/>
  <c r="T222" i="1"/>
  <c r="J222" i="1"/>
  <c r="T221" i="1"/>
  <c r="J221" i="1"/>
  <c r="T220" i="1"/>
  <c r="J220" i="1"/>
  <c r="T218" i="1"/>
  <c r="J218" i="1"/>
  <c r="T219" i="1"/>
  <c r="J219" i="1"/>
  <c r="T217" i="1"/>
  <c r="J217" i="1"/>
  <c r="T216" i="1"/>
  <c r="J216" i="1"/>
  <c r="T215" i="1"/>
  <c r="J215" i="1"/>
  <c r="T214" i="1"/>
  <c r="J214" i="1"/>
  <c r="T213" i="1"/>
  <c r="J213" i="1"/>
  <c r="T212" i="1"/>
  <c r="J212" i="1"/>
  <c r="T211" i="1"/>
  <c r="J211" i="1"/>
  <c r="T210" i="1"/>
  <c r="J210" i="1"/>
  <c r="T209" i="1"/>
  <c r="J209" i="1"/>
  <c r="T208" i="1"/>
  <c r="J208" i="1"/>
  <c r="T207" i="1"/>
  <c r="J207" i="1"/>
  <c r="T206" i="1"/>
  <c r="J206" i="1"/>
  <c r="T205" i="1"/>
  <c r="J205" i="1"/>
  <c r="T204" i="1"/>
  <c r="J204" i="1"/>
  <c r="T203" i="1"/>
  <c r="J203" i="1"/>
  <c r="T202" i="1"/>
  <c r="J202" i="1"/>
  <c r="T201" i="1"/>
  <c r="J201" i="1"/>
  <c r="T200" i="1"/>
  <c r="J200" i="1"/>
  <c r="T199" i="1"/>
  <c r="J199" i="1"/>
  <c r="T198" i="1"/>
  <c r="J198" i="1"/>
  <c r="T197" i="1"/>
  <c r="J197" i="1"/>
  <c r="T196" i="1"/>
  <c r="J196" i="1"/>
  <c r="T195" i="1"/>
  <c r="J195" i="1"/>
  <c r="AA192" i="1"/>
  <c r="U192" i="1"/>
  <c r="P192" i="1"/>
  <c r="J192" i="1"/>
  <c r="AA191" i="1"/>
  <c r="U191" i="1"/>
  <c r="P191" i="1"/>
  <c r="J191" i="1"/>
  <c r="AA190" i="1"/>
  <c r="U190" i="1"/>
  <c r="P190" i="1"/>
  <c r="J190" i="1"/>
  <c r="AA189" i="1"/>
  <c r="U189" i="1"/>
  <c r="P189" i="1"/>
  <c r="J189" i="1"/>
  <c r="AA188" i="1"/>
  <c r="U188" i="1"/>
  <c r="P188" i="1"/>
  <c r="J188" i="1"/>
  <c r="AA187" i="1"/>
  <c r="U187" i="1"/>
  <c r="P187" i="1"/>
  <c r="J187" i="1"/>
  <c r="AA186" i="1"/>
  <c r="U186" i="1"/>
  <c r="P186" i="1"/>
  <c r="J186" i="1"/>
  <c r="AA185" i="1"/>
  <c r="U185" i="1"/>
  <c r="P185" i="1"/>
  <c r="J185" i="1"/>
  <c r="U184" i="1"/>
  <c r="T184" i="1" s="1"/>
  <c r="P184" i="1"/>
  <c r="J184" i="1"/>
  <c r="U183" i="1"/>
  <c r="P183" i="1"/>
  <c r="J183" i="1"/>
  <c r="AA194" i="1"/>
  <c r="U194" i="1"/>
  <c r="P194" i="1"/>
  <c r="J194" i="1"/>
  <c r="AA193" i="1"/>
  <c r="U193" i="1"/>
  <c r="P193" i="1"/>
  <c r="J193" i="1"/>
  <c r="U182" i="1"/>
  <c r="P182" i="1"/>
  <c r="J182" i="1"/>
  <c r="AA181" i="1"/>
  <c r="U181" i="1"/>
  <c r="P181" i="1"/>
  <c r="J181" i="1"/>
  <c r="AA179" i="1"/>
  <c r="U179" i="1"/>
  <c r="P179" i="1"/>
  <c r="J179" i="1"/>
  <c r="AA180" i="1"/>
  <c r="U180" i="1"/>
  <c r="J180" i="1"/>
  <c r="AA178" i="1"/>
  <c r="U178" i="1"/>
  <c r="P178" i="1"/>
  <c r="J178" i="1"/>
  <c r="AA177" i="1"/>
  <c r="U177" i="1"/>
  <c r="P177" i="1"/>
  <c r="J177" i="1"/>
  <c r="T176" i="1"/>
  <c r="P176" i="1"/>
  <c r="J176" i="1"/>
  <c r="T175" i="1"/>
  <c r="P175" i="1"/>
  <c r="J175" i="1"/>
  <c r="AA174" i="1"/>
  <c r="X174" i="1"/>
  <c r="U174" i="1" s="1"/>
  <c r="P174" i="1"/>
  <c r="J174" i="1"/>
  <c r="T173" i="1"/>
  <c r="J173" i="1"/>
  <c r="T172" i="1"/>
  <c r="J172" i="1"/>
  <c r="T171" i="1"/>
  <c r="J171" i="1"/>
  <c r="T170" i="1"/>
  <c r="J170" i="1"/>
  <c r="T169" i="1"/>
  <c r="J169" i="1"/>
  <c r="T168" i="1"/>
  <c r="J168" i="1"/>
  <c r="T167" i="1"/>
  <c r="J167" i="1"/>
  <c r="T166" i="1"/>
  <c r="J166" i="1"/>
  <c r="T165" i="1"/>
  <c r="J165" i="1"/>
  <c r="T164" i="1"/>
  <c r="J164" i="1"/>
  <c r="T163" i="1"/>
  <c r="J163" i="1"/>
  <c r="T162" i="1"/>
  <c r="J162" i="1"/>
  <c r="T161" i="1"/>
  <c r="J161" i="1"/>
  <c r="T160" i="1"/>
  <c r="J160" i="1"/>
  <c r="T159" i="1"/>
  <c r="J159" i="1"/>
  <c r="T158" i="1"/>
  <c r="J158" i="1"/>
  <c r="T157" i="1"/>
  <c r="J157" i="1"/>
  <c r="W107" i="1"/>
  <c r="U107" i="1" s="1"/>
  <c r="T107" i="1" s="1"/>
  <c r="R107" i="1"/>
  <c r="P107" i="1" s="1"/>
  <c r="J107" i="1"/>
  <c r="U106" i="1"/>
  <c r="T106" i="1" s="1"/>
  <c r="P106" i="1"/>
  <c r="J106" i="1"/>
  <c r="U105" i="1"/>
  <c r="T105" i="1" s="1"/>
  <c r="P105" i="1"/>
  <c r="J105" i="1"/>
  <c r="U104" i="1"/>
  <c r="T104" i="1" s="1"/>
  <c r="P104" i="1"/>
  <c r="J104" i="1"/>
  <c r="U103" i="1"/>
  <c r="T103" i="1" s="1"/>
  <c r="P103" i="1"/>
  <c r="J103" i="1"/>
  <c r="T102" i="1"/>
  <c r="J102" i="1"/>
  <c r="T101" i="1"/>
  <c r="J101" i="1"/>
  <c r="T100" i="1"/>
  <c r="J100" i="1"/>
  <c r="AA99" i="1"/>
  <c r="U99" i="1"/>
  <c r="P99" i="1"/>
  <c r="J99" i="1"/>
  <c r="AA98" i="1"/>
  <c r="U98" i="1"/>
  <c r="P98" i="1"/>
  <c r="J98" i="1"/>
  <c r="T97" i="1"/>
  <c r="J97" i="1"/>
  <c r="T96" i="1"/>
  <c r="J96" i="1"/>
  <c r="T95" i="1"/>
  <c r="J95" i="1"/>
  <c r="AA94" i="1"/>
  <c r="U94" i="1"/>
  <c r="P94" i="1"/>
  <c r="J94" i="1"/>
  <c r="AA93" i="1"/>
  <c r="U93" i="1"/>
  <c r="P93" i="1"/>
  <c r="J93" i="1"/>
  <c r="AA92" i="1"/>
  <c r="X92" i="1"/>
  <c r="W92" i="1"/>
  <c r="P92" i="1"/>
  <c r="J92" i="1"/>
  <c r="U91" i="1"/>
  <c r="T91" i="1" s="1"/>
  <c r="Q91" i="1"/>
  <c r="P91" i="1" s="1"/>
  <c r="J91" i="1"/>
  <c r="AA90" i="1"/>
  <c r="U90" i="1"/>
  <c r="P90" i="1"/>
  <c r="J90" i="1"/>
  <c r="U89" i="1"/>
  <c r="T89" i="1" s="1"/>
  <c r="P89" i="1"/>
  <c r="J89" i="1"/>
  <c r="T88" i="1"/>
  <c r="P88" i="1"/>
  <c r="J88" i="1"/>
  <c r="G88" i="1"/>
  <c r="G5" i="1" s="1"/>
  <c r="AA87" i="1"/>
  <c r="U87" i="1"/>
  <c r="P87" i="1"/>
  <c r="J87" i="1"/>
  <c r="T86" i="1"/>
  <c r="J86" i="1"/>
  <c r="Y85" i="1"/>
  <c r="X85" i="1"/>
  <c r="W85" i="1"/>
  <c r="V85" i="1"/>
  <c r="R85" i="1"/>
  <c r="J85" i="1"/>
  <c r="AA84" i="1"/>
  <c r="T84" i="1" s="1"/>
  <c r="P84" i="1"/>
  <c r="J84" i="1"/>
  <c r="AA83" i="1"/>
  <c r="U83" i="1"/>
  <c r="P83" i="1"/>
  <c r="J83" i="1"/>
  <c r="T75" i="1"/>
  <c r="AE75" i="1" s="1"/>
  <c r="P75" i="1"/>
  <c r="T74" i="1"/>
  <c r="P74" i="1"/>
  <c r="J74" i="1"/>
  <c r="T73" i="1"/>
  <c r="AE73" i="1" s="1"/>
  <c r="T72" i="1"/>
  <c r="J72" i="1"/>
  <c r="T71" i="1"/>
  <c r="J71" i="1"/>
  <c r="T70" i="1"/>
  <c r="J70" i="1"/>
  <c r="T69" i="1"/>
  <c r="J69" i="1"/>
  <c r="T68" i="1"/>
  <c r="J68" i="1"/>
  <c r="T67" i="1"/>
  <c r="J67" i="1"/>
  <c r="T66" i="1"/>
  <c r="J66" i="1"/>
  <c r="T65" i="1"/>
  <c r="J65" i="1"/>
  <c r="T64" i="1"/>
  <c r="J64" i="1"/>
  <c r="T63" i="1"/>
  <c r="J63" i="1"/>
  <c r="T62" i="1"/>
  <c r="J62" i="1"/>
  <c r="AI5" i="1"/>
  <c r="AH5" i="1"/>
  <c r="AD5" i="1"/>
  <c r="AC5" i="1"/>
  <c r="AB5" i="1"/>
  <c r="Z5" i="1"/>
  <c r="O5" i="1"/>
  <c r="N5" i="1"/>
  <c r="M5" i="1"/>
  <c r="K5" i="1"/>
  <c r="E5" i="1"/>
  <c r="V5" i="1" l="1"/>
  <c r="U92" i="1"/>
  <c r="U390" i="1"/>
  <c r="T390" i="1" s="1"/>
  <c r="U433" i="1"/>
  <c r="T433" i="1" s="1"/>
  <c r="AE433" i="1" s="1"/>
  <c r="U496" i="1"/>
  <c r="U526" i="1"/>
  <c r="X5" i="1"/>
  <c r="Y5" i="1"/>
  <c r="U238" i="1"/>
  <c r="U431" i="1"/>
  <c r="T431" i="1" s="1"/>
  <c r="AE431" i="1" s="1"/>
  <c r="U85" i="1"/>
  <c r="T85" i="1" s="1"/>
  <c r="AE85" i="1" s="1"/>
  <c r="W5" i="1"/>
  <c r="L5" i="1"/>
  <c r="U430" i="1"/>
  <c r="T430" i="1" s="1"/>
  <c r="AE430" i="1" s="1"/>
  <c r="T188" i="1"/>
  <c r="AE188" i="1" s="1"/>
  <c r="AE225" i="1"/>
  <c r="AE231" i="1"/>
  <c r="T461" i="1"/>
  <c r="AE461" i="1" s="1"/>
  <c r="T492" i="1"/>
  <c r="AE492" i="1" s="1"/>
  <c r="T545" i="1"/>
  <c r="AE545" i="1" s="1"/>
  <c r="T465" i="1"/>
  <c r="AE465" i="1" s="1"/>
  <c r="AX17" i="2"/>
  <c r="T503" i="1"/>
  <c r="AE503" i="1" s="1"/>
  <c r="T510" i="1"/>
  <c r="AE510" i="1" s="1"/>
  <c r="CI12" i="2"/>
  <c r="AE255" i="1"/>
  <c r="CA29" i="2"/>
  <c r="AE357" i="1"/>
  <c r="AE360" i="1"/>
  <c r="AE363" i="1"/>
  <c r="CD21" i="2"/>
  <c r="AE200" i="1"/>
  <c r="AE203" i="1"/>
  <c r="AE230" i="1"/>
  <c r="AE224" i="1"/>
  <c r="CB20" i="2"/>
  <c r="AE222" i="1"/>
  <c r="AE524" i="1"/>
  <c r="AE70" i="1"/>
  <c r="T194" i="1"/>
  <c r="AE194" i="1" s="1"/>
  <c r="T191" i="1"/>
  <c r="AE191" i="1" s="1"/>
  <c r="AE324" i="1"/>
  <c r="T463" i="1"/>
  <c r="AE463" i="1" s="1"/>
  <c r="CH16" i="2"/>
  <c r="AQ27" i="2"/>
  <c r="BZ16" i="2"/>
  <c r="AK23" i="2"/>
  <c r="CI8" i="2"/>
  <c r="CG21" i="2"/>
  <c r="T94" i="1"/>
  <c r="T506" i="1"/>
  <c r="AE506" i="1" s="1"/>
  <c r="T509" i="1"/>
  <c r="AE509" i="1" s="1"/>
  <c r="T515" i="1"/>
  <c r="AE515" i="1" s="1"/>
  <c r="AE487" i="1"/>
  <c r="AE383" i="1"/>
  <c r="X23" i="2"/>
  <c r="AE304" i="1"/>
  <c r="T534" i="1"/>
  <c r="AE534" i="1" s="1"/>
  <c r="T540" i="1"/>
  <c r="CI28" i="2"/>
  <c r="BZ30" i="2"/>
  <c r="CB31" i="2"/>
  <c r="CD32" i="2"/>
  <c r="AK32" i="2"/>
  <c r="AE466" i="1"/>
  <c r="AE541" i="1"/>
  <c r="AE71" i="1"/>
  <c r="AQ10" i="2"/>
  <c r="AE96" i="1"/>
  <c r="AE303" i="1"/>
  <c r="AE228" i="1"/>
  <c r="AE253" i="1"/>
  <c r="AE311" i="1"/>
  <c r="AE535" i="1"/>
  <c r="CI15" i="2"/>
  <c r="AE86" i="1"/>
  <c r="T87" i="1"/>
  <c r="AE87" i="1" s="1"/>
  <c r="AE157" i="1"/>
  <c r="AE160" i="1"/>
  <c r="AE166" i="1"/>
  <c r="AE169" i="1"/>
  <c r="AE302" i="1"/>
  <c r="T179" i="1"/>
  <c r="AE179" i="1" s="1"/>
  <c r="AE331" i="1"/>
  <c r="T90" i="1"/>
  <c r="AE168" i="1"/>
  <c r="AE176" i="1"/>
  <c r="T180" i="1"/>
  <c r="AE180" i="1" s="1"/>
  <c r="AE259" i="1"/>
  <c r="AE350" i="1"/>
  <c r="AE386" i="1"/>
  <c r="AE389" i="1"/>
  <c r="AE412" i="1"/>
  <c r="T468" i="1"/>
  <c r="AE468" i="1" s="1"/>
  <c r="AK21" i="2"/>
  <c r="AE91" i="1"/>
  <c r="AE251" i="1"/>
  <c r="CH21" i="2"/>
  <c r="CG30" i="2"/>
  <c r="AE242" i="1"/>
  <c r="AE260" i="1"/>
  <c r="AE88" i="1"/>
  <c r="T93" i="1"/>
  <c r="AE106" i="1"/>
  <c r="T185" i="1"/>
  <c r="AE201" i="1"/>
  <c r="AE204" i="1"/>
  <c r="AE209" i="1"/>
  <c r="AE216" i="1"/>
  <c r="AE219" i="1"/>
  <c r="AE240" i="1"/>
  <c r="AE252" i="1"/>
  <c r="AE316" i="1"/>
  <c r="AE325" i="1"/>
  <c r="T393" i="1"/>
  <c r="T533" i="1"/>
  <c r="AE533" i="1" s="1"/>
  <c r="T546" i="1"/>
  <c r="AE546" i="1" s="1"/>
  <c r="AE173" i="1"/>
  <c r="AE262" i="1"/>
  <c r="AE298" i="1"/>
  <c r="AE329" i="1"/>
  <c r="AE395" i="1"/>
  <c r="T500" i="1"/>
  <c r="AE500" i="1" s="1"/>
  <c r="CC11" i="2"/>
  <c r="CE12" i="2"/>
  <c r="CH12" i="2"/>
  <c r="CE17" i="2"/>
  <c r="N20" i="2"/>
  <c r="CA32" i="2"/>
  <c r="CA19" i="2"/>
  <c r="T512" i="1"/>
  <c r="AE512" i="1" s="1"/>
  <c r="AK11" i="2"/>
  <c r="AX16" i="2"/>
  <c r="AX27" i="2"/>
  <c r="CI30" i="2"/>
  <c r="AE365" i="1"/>
  <c r="AE411" i="1"/>
  <c r="AE89" i="1"/>
  <c r="AE65" i="1"/>
  <c r="AE254" i="1"/>
  <c r="H10" i="2"/>
  <c r="AE72" i="1"/>
  <c r="AE419" i="1"/>
  <c r="T527" i="1"/>
  <c r="AE527" i="1" s="1"/>
  <c r="T543" i="1"/>
  <c r="AE543" i="1" s="1"/>
  <c r="CG10" i="2"/>
  <c r="AX15" i="2"/>
  <c r="AK16" i="2"/>
  <c r="CA24" i="2"/>
  <c r="AE364" i="1"/>
  <c r="AE382" i="1"/>
  <c r="T494" i="1"/>
  <c r="AE494" i="1" s="1"/>
  <c r="T496" i="1"/>
  <c r="AE496" i="1" s="1"/>
  <c r="T514" i="1"/>
  <c r="AE514" i="1" s="1"/>
  <c r="AE256" i="1"/>
  <c r="AE315" i="1"/>
  <c r="C17" i="2"/>
  <c r="E30" i="2"/>
  <c r="AE100" i="1"/>
  <c r="AE236" i="1"/>
  <c r="AE328" i="1"/>
  <c r="AE413" i="1"/>
  <c r="AE66" i="1"/>
  <c r="AE67" i="1"/>
  <c r="AE68" i="1"/>
  <c r="AE164" i="1"/>
  <c r="AE235" i="1"/>
  <c r="AE373" i="1"/>
  <c r="T374" i="1"/>
  <c r="AE374" i="1" s="1"/>
  <c r="AE414" i="1"/>
  <c r="AE438" i="1"/>
  <c r="T467" i="1"/>
  <c r="AE467" i="1" s="1"/>
  <c r="T497" i="1"/>
  <c r="AE497" i="1" s="1"/>
  <c r="N8" i="2"/>
  <c r="BZ10" i="2"/>
  <c r="AK20" i="2"/>
  <c r="AE175" i="1"/>
  <c r="AE170" i="1"/>
  <c r="CA16" i="2"/>
  <c r="R5" i="1"/>
  <c r="AE97" i="1"/>
  <c r="BN24" i="2"/>
  <c r="BL24" i="2" s="1"/>
  <c r="M24" i="2" s="1"/>
  <c r="CB23" i="2"/>
  <c r="AE171" i="1"/>
  <c r="BN23" i="2"/>
  <c r="BL23" i="2" s="1"/>
  <c r="M23" i="2" s="1"/>
  <c r="T98" i="1"/>
  <c r="AE98" i="1" s="1"/>
  <c r="T189" i="1"/>
  <c r="AE202" i="1"/>
  <c r="AE206" i="1"/>
  <c r="AE213" i="1"/>
  <c r="AE215" i="1"/>
  <c r="AE233" i="1"/>
  <c r="AE306" i="1"/>
  <c r="AE358" i="1"/>
  <c r="AE362" i="1"/>
  <c r="AE368" i="1"/>
  <c r="AE379" i="1"/>
  <c r="AE482" i="1"/>
  <c r="AE483" i="1"/>
  <c r="I9" i="2"/>
  <c r="AK17" i="2"/>
  <c r="X18" i="2"/>
  <c r="F21" i="2"/>
  <c r="CG24" i="2"/>
  <c r="CB29" i="2"/>
  <c r="AE229" i="1"/>
  <c r="J31" i="2"/>
  <c r="AE195" i="1"/>
  <c r="AE226" i="1"/>
  <c r="AE237" i="1"/>
  <c r="CD10" i="2"/>
  <c r="CI13" i="2"/>
  <c r="CE24" i="2"/>
  <c r="AE84" i="1"/>
  <c r="CH11" i="2"/>
  <c r="AD20" i="2"/>
  <c r="CC29" i="2"/>
  <c r="AE457" i="1"/>
  <c r="CC17" i="2"/>
  <c r="AE352" i="1"/>
  <c r="AE355" i="1"/>
  <c r="AE384" i="1"/>
  <c r="AE390" i="1"/>
  <c r="W7" i="2"/>
  <c r="AM7" i="2"/>
  <c r="X10" i="2"/>
  <c r="CI11" i="2"/>
  <c r="BG7" i="2"/>
  <c r="CE15" i="2"/>
  <c r="CG23" i="2"/>
  <c r="CB28" i="2"/>
  <c r="CH31" i="2"/>
  <c r="AE198" i="1"/>
  <c r="AE312" i="1"/>
  <c r="AE371" i="1"/>
  <c r="E13" i="2"/>
  <c r="C27" i="2"/>
  <c r="AX8" i="2"/>
  <c r="T190" i="1"/>
  <c r="AE190" i="1" s="1"/>
  <c r="AE239" i="1"/>
  <c r="AE387" i="1"/>
  <c r="T460" i="1"/>
  <c r="AE460" i="1" s="1"/>
  <c r="CI10" i="2"/>
  <c r="CC27" i="2"/>
  <c r="AX28" i="2"/>
  <c r="X30" i="2"/>
  <c r="AE167" i="1"/>
  <c r="AI7" i="2"/>
  <c r="C32" i="2"/>
  <c r="AE102" i="1"/>
  <c r="H26" i="2"/>
  <c r="AE247" i="1"/>
  <c r="BX15" i="2"/>
  <c r="T243" i="1"/>
  <c r="AE243" i="1" s="1"/>
  <c r="AE439" i="1"/>
  <c r="AE488" i="1"/>
  <c r="AE490" i="1"/>
  <c r="T538" i="1"/>
  <c r="AE538" i="1" s="1"/>
  <c r="BZ9" i="2"/>
  <c r="CE13" i="2"/>
  <c r="CE14" i="2"/>
  <c r="BX23" i="2"/>
  <c r="E29" i="2"/>
  <c r="CG12" i="2"/>
  <c r="CD13" i="2"/>
  <c r="L13" i="2"/>
  <c r="AQ15" i="2"/>
  <c r="CH17" i="2"/>
  <c r="CI18" i="2"/>
  <c r="BX20" i="2"/>
  <c r="BZ21" i="2"/>
  <c r="CD26" i="2"/>
  <c r="CD27" i="2"/>
  <c r="N28" i="2"/>
  <c r="I32" i="2"/>
  <c r="CH10" i="2"/>
  <c r="BD12" i="2"/>
  <c r="BB12" i="2" s="1"/>
  <c r="N18" i="2"/>
  <c r="CA21" i="2"/>
  <c r="CC23" i="2"/>
  <c r="AX23" i="2"/>
  <c r="CB24" i="2"/>
  <c r="CE28" i="2"/>
  <c r="AK30" i="2"/>
  <c r="CE32" i="2"/>
  <c r="BZ17" i="2"/>
  <c r="BX18" i="2"/>
  <c r="G19" i="2"/>
  <c r="L19" i="2"/>
  <c r="H20" i="2"/>
  <c r="J24" i="2"/>
  <c r="CI29" i="2"/>
  <c r="BD29" i="2"/>
  <c r="BB29" i="2" s="1"/>
  <c r="CG31" i="2"/>
  <c r="CE8" i="2"/>
  <c r="AA7" i="2"/>
  <c r="BD10" i="2"/>
  <c r="BB10" i="2" s="1"/>
  <c r="BX14" i="2"/>
  <c r="G16" i="2"/>
  <c r="CE31" i="2"/>
  <c r="BZ8" i="2"/>
  <c r="BK7" i="2"/>
  <c r="N11" i="2"/>
  <c r="AD12" i="2"/>
  <c r="CB15" i="2"/>
  <c r="CC16" i="2"/>
  <c r="CD17" i="2"/>
  <c r="BN17" i="2"/>
  <c r="BL17" i="2" s="1"/>
  <c r="M17" i="2" s="1"/>
  <c r="AK19" i="2"/>
  <c r="CE20" i="2"/>
  <c r="CH24" i="2"/>
  <c r="CB18" i="2"/>
  <c r="CC26" i="2"/>
  <c r="AH7" i="2"/>
  <c r="H14" i="2"/>
  <c r="CD16" i="2"/>
  <c r="BX27" i="2"/>
  <c r="BX29" i="2"/>
  <c r="BX32" i="2"/>
  <c r="BI7" i="2"/>
  <c r="F11" i="2"/>
  <c r="CB11" i="2"/>
  <c r="CB12" i="2"/>
  <c r="CD14" i="2"/>
  <c r="CE16" i="2"/>
  <c r="CE18" i="2"/>
  <c r="CI21" i="2"/>
  <c r="L23" i="2"/>
  <c r="CB27" i="2"/>
  <c r="BZ29" i="2"/>
  <c r="L30" i="2"/>
  <c r="BZ32" i="2"/>
  <c r="CD9" i="2"/>
  <c r="J8" i="2"/>
  <c r="AY7" i="2"/>
  <c r="CC10" i="2"/>
  <c r="CA13" i="2"/>
  <c r="CC14" i="2"/>
  <c r="CI20" i="2"/>
  <c r="AD23" i="2"/>
  <c r="BZ24" i="2"/>
  <c r="H28" i="2"/>
  <c r="CB30" i="2"/>
  <c r="BJ7" i="2"/>
  <c r="AQ11" i="2"/>
  <c r="J12" i="2"/>
  <c r="AX11" i="2"/>
  <c r="BN11" i="2"/>
  <c r="BL11" i="2" s="1"/>
  <c r="M11" i="2" s="1"/>
  <c r="AK12" i="2"/>
  <c r="AX32" i="2"/>
  <c r="T531" i="1"/>
  <c r="AE531" i="1" s="1"/>
  <c r="AE101" i="1"/>
  <c r="AE207" i="1"/>
  <c r="J5" i="1"/>
  <c r="AE210" i="1"/>
  <c r="AE211" i="1"/>
  <c r="AE212" i="1"/>
  <c r="AE214" i="1"/>
  <c r="AE218" i="1"/>
  <c r="AE249" i="1"/>
  <c r="AE261" i="1"/>
  <c r="AE349" i="1"/>
  <c r="AE351" i="1"/>
  <c r="AE376" i="1"/>
  <c r="I8" i="2"/>
  <c r="BX9" i="2"/>
  <c r="BT7" i="2"/>
  <c r="I13" i="2"/>
  <c r="CG13" i="2"/>
  <c r="J17" i="2"/>
  <c r="CC18" i="2"/>
  <c r="H18" i="2"/>
  <c r="J20" i="2"/>
  <c r="AK29" i="2"/>
  <c r="AE74" i="1"/>
  <c r="AE217" i="1"/>
  <c r="AE330" i="1"/>
  <c r="AE353" i="1"/>
  <c r="AE359" i="1"/>
  <c r="AE361" i="1"/>
  <c r="AE464" i="1"/>
  <c r="L10" i="2"/>
  <c r="CG17" i="2"/>
  <c r="X17" i="2"/>
  <c r="CD18" i="2"/>
  <c r="AX20" i="2"/>
  <c r="T178" i="1"/>
  <c r="AE178" i="1" s="1"/>
  <c r="T181" i="1"/>
  <c r="AE181" i="1" s="1"/>
  <c r="AE234" i="1"/>
  <c r="T257" i="1"/>
  <c r="AE263" i="1"/>
  <c r="AE347" i="1"/>
  <c r="AE356" i="1"/>
  <c r="AE369" i="1"/>
  <c r="AE377" i="1"/>
  <c r="T416" i="1"/>
  <c r="AE416" i="1" s="1"/>
  <c r="AE440" i="1"/>
  <c r="T498" i="1"/>
  <c r="AE498" i="1" s="1"/>
  <c r="Q498" i="1"/>
  <c r="T539" i="1"/>
  <c r="T544" i="1"/>
  <c r="AE544" i="1" s="1"/>
  <c r="BX10" i="2"/>
  <c r="BD11" i="2"/>
  <c r="BB11" i="2" s="1"/>
  <c r="BS7" i="2"/>
  <c r="G15" i="2"/>
  <c r="AD15" i="2"/>
  <c r="CI16" i="2"/>
  <c r="N16" i="2"/>
  <c r="BD17" i="2"/>
  <c r="BB17" i="2" s="1"/>
  <c r="G18" i="2"/>
  <c r="AX19" i="2"/>
  <c r="F19" i="2"/>
  <c r="BD26" i="2"/>
  <c r="BB26" i="2" s="1"/>
  <c r="L29" i="2"/>
  <c r="CG29" i="2"/>
  <c r="X29" i="2"/>
  <c r="AE205" i="1"/>
  <c r="BN9" i="2"/>
  <c r="BL9" i="2" s="1"/>
  <c r="M9" i="2" s="1"/>
  <c r="Q13" i="2"/>
  <c r="BZ13" i="2"/>
  <c r="C15" i="2"/>
  <c r="CH29" i="2"/>
  <c r="AE158" i="1"/>
  <c r="AE159" i="1"/>
  <c r="T245" i="1"/>
  <c r="AE245" i="1" s="1"/>
  <c r="AE301" i="1"/>
  <c r="AE366" i="1"/>
  <c r="BR7" i="2"/>
  <c r="H9" i="2"/>
  <c r="AD11" i="2"/>
  <c r="G11" i="2"/>
  <c r="F16" i="2"/>
  <c r="I16" i="2"/>
  <c r="I17" i="2"/>
  <c r="L17" i="2"/>
  <c r="J21" i="2"/>
  <c r="BN21" i="2"/>
  <c r="BL21" i="2" s="1"/>
  <c r="M21" i="2" s="1"/>
  <c r="BD24" i="2"/>
  <c r="BB24" i="2" s="1"/>
  <c r="CI27" i="2"/>
  <c r="N27" i="2"/>
  <c r="CI32" i="2"/>
  <c r="N32" i="2"/>
  <c r="AE62" i="1"/>
  <c r="AE63" i="1"/>
  <c r="AE64" i="1"/>
  <c r="AE161" i="1"/>
  <c r="AE162" i="1"/>
  <c r="AE163" i="1"/>
  <c r="AE165" i="1"/>
  <c r="T193" i="1"/>
  <c r="AE197" i="1"/>
  <c r="AE258" i="1"/>
  <c r="AE318" i="1"/>
  <c r="T427" i="1"/>
  <c r="AE427" i="1" s="1"/>
  <c r="T428" i="1"/>
  <c r="AE428" i="1" s="1"/>
  <c r="AK9" i="2"/>
  <c r="CB10" i="2"/>
  <c r="G10" i="2"/>
  <c r="CA11" i="2"/>
  <c r="AD16" i="2"/>
  <c r="CH20" i="2"/>
  <c r="Q17" i="2"/>
  <c r="AQ18" i="2"/>
  <c r="AE69" i="1"/>
  <c r="T99" i="1"/>
  <c r="AE99" i="1" s="1"/>
  <c r="AE199" i="1"/>
  <c r="AE223" i="1"/>
  <c r="AE319" i="1"/>
  <c r="AE426" i="1"/>
  <c r="AE481" i="1"/>
  <c r="AE484" i="1"/>
  <c r="T502" i="1"/>
  <c r="AE502" i="1" s="1"/>
  <c r="T511" i="1"/>
  <c r="AE511" i="1" s="1"/>
  <c r="CI9" i="2"/>
  <c r="AX10" i="2"/>
  <c r="BN13" i="2"/>
  <c r="BL13" i="2" s="1"/>
  <c r="M13" i="2" s="1"/>
  <c r="N19" i="2"/>
  <c r="CI19" i="2"/>
  <c r="AQ19" i="2"/>
  <c r="C26" i="2"/>
  <c r="BX26" i="2"/>
  <c r="BX31" i="2"/>
  <c r="C31" i="2"/>
  <c r="AE172" i="1"/>
  <c r="T458" i="1"/>
  <c r="AE458" i="1" s="1"/>
  <c r="T501" i="1"/>
  <c r="AE501" i="1" s="1"/>
  <c r="T528" i="1"/>
  <c r="AE528" i="1" s="1"/>
  <c r="T530" i="1"/>
  <c r="AT7" i="2"/>
  <c r="CH9" i="2"/>
  <c r="BX12" i="2"/>
  <c r="E21" i="2"/>
  <c r="I26" i="2"/>
  <c r="AD28" i="2"/>
  <c r="T177" i="1"/>
  <c r="AE177" i="1" s="1"/>
  <c r="T187" i="1"/>
  <c r="AE187" i="1" s="1"/>
  <c r="AE221" i="1"/>
  <c r="AE326" i="1"/>
  <c r="AE452" i="1"/>
  <c r="T454" i="1"/>
  <c r="AE454" i="1" s="1"/>
  <c r="AU7" i="2"/>
  <c r="BU7" i="2"/>
  <c r="Q12" i="2"/>
  <c r="X13" i="2"/>
  <c r="CA28" i="2"/>
  <c r="F28" i="2"/>
  <c r="T388" i="1"/>
  <c r="AE388" i="1" s="1"/>
  <c r="T409" i="1"/>
  <c r="T453" i="1"/>
  <c r="AE453" i="1" s="1"/>
  <c r="AE455" i="1"/>
  <c r="T459" i="1"/>
  <c r="AE480" i="1"/>
  <c r="T542" i="1"/>
  <c r="AE542" i="1" s="1"/>
  <c r="CA12" i="2"/>
  <c r="F12" i="2"/>
  <c r="BD18" i="2"/>
  <c r="BB18" i="2" s="1"/>
  <c r="BX19" i="2"/>
  <c r="AK13" i="2"/>
  <c r="BD13" i="2"/>
  <c r="BB13" i="2" s="1"/>
  <c r="BN14" i="2"/>
  <c r="BL14" i="2" s="1"/>
  <c r="M14" i="2" s="1"/>
  <c r="CA15" i="2"/>
  <c r="CC15" i="2"/>
  <c r="J15" i="2"/>
  <c r="AK18" i="2"/>
  <c r="CE21" i="2"/>
  <c r="CI23" i="2"/>
  <c r="G23" i="2"/>
  <c r="BN29" i="2"/>
  <c r="BL29" i="2" s="1"/>
  <c r="M29" i="2" s="1"/>
  <c r="CA30" i="2"/>
  <c r="CH14" i="2"/>
  <c r="CD15" i="2"/>
  <c r="AK15" i="2"/>
  <c r="BN15" i="2"/>
  <c r="BL15" i="2" s="1"/>
  <c r="M15" i="2" s="1"/>
  <c r="BN16" i="2"/>
  <c r="BL16" i="2" s="1"/>
  <c r="M16" i="2" s="1"/>
  <c r="CH18" i="2"/>
  <c r="CB19" i="2"/>
  <c r="I19" i="2"/>
  <c r="AQ20" i="2"/>
  <c r="L21" i="2"/>
  <c r="AQ23" i="2"/>
  <c r="CI24" i="2"/>
  <c r="F24" i="2"/>
  <c r="G27" i="2"/>
  <c r="CC28" i="2"/>
  <c r="CC30" i="2"/>
  <c r="T489" i="1"/>
  <c r="AE489" i="1" s="1"/>
  <c r="T493" i="1"/>
  <c r="T505" i="1"/>
  <c r="AE505" i="1" s="1"/>
  <c r="T508" i="1"/>
  <c r="AE508" i="1" s="1"/>
  <c r="T516" i="1"/>
  <c r="AE516" i="1" s="1"/>
  <c r="V7" i="2"/>
  <c r="CA9" i="2"/>
  <c r="BN12" i="2"/>
  <c r="BL12" i="2" s="1"/>
  <c r="M12" i="2" s="1"/>
  <c r="BX16" i="2"/>
  <c r="I18" i="2"/>
  <c r="J18" i="2"/>
  <c r="CC19" i="2"/>
  <c r="CA20" i="2"/>
  <c r="E24" i="2"/>
  <c r="AX26" i="2"/>
  <c r="AD27" i="2"/>
  <c r="BD27" i="2"/>
  <c r="BB27" i="2" s="1"/>
  <c r="CD28" i="2"/>
  <c r="CA31" i="2"/>
  <c r="J26" i="2"/>
  <c r="AK28" i="2"/>
  <c r="Q29" i="2"/>
  <c r="AX31" i="2"/>
  <c r="BN31" i="2"/>
  <c r="BL31" i="2" s="1"/>
  <c r="M31" i="2" s="1"/>
  <c r="H27" i="2"/>
  <c r="J32" i="2"/>
  <c r="T491" i="1"/>
  <c r="AE491" i="1" s="1"/>
  <c r="T523" i="1"/>
  <c r="AE523" i="1" s="1"/>
  <c r="T532" i="1"/>
  <c r="AE532" i="1" s="1"/>
  <c r="AX9" i="2"/>
  <c r="C14" i="2"/>
  <c r="N15" i="2"/>
  <c r="J16" i="2"/>
  <c r="N17" i="2"/>
  <c r="BZ18" i="2"/>
  <c r="CG19" i="2"/>
  <c r="CD23" i="2"/>
  <c r="Q24" i="2"/>
  <c r="G24" i="2"/>
  <c r="CE26" i="2"/>
  <c r="G29" i="2"/>
  <c r="AK31" i="2"/>
  <c r="T526" i="1"/>
  <c r="AE526" i="1" s="1"/>
  <c r="AQ8" i="2"/>
  <c r="BF7" i="2"/>
  <c r="CE9" i="2"/>
  <c r="BH7" i="2"/>
  <c r="E12" i="2"/>
  <c r="BZ14" i="2"/>
  <c r="BD14" i="2"/>
  <c r="BB14" i="2" s="1"/>
  <c r="CH19" i="2"/>
  <c r="BD19" i="2"/>
  <c r="BB19" i="2" s="1"/>
  <c r="BN20" i="2"/>
  <c r="BL20" i="2" s="1"/>
  <c r="M20" i="2" s="1"/>
  <c r="BX21" i="2"/>
  <c r="AD24" i="2"/>
  <c r="CG26" i="2"/>
  <c r="I27" i="2"/>
  <c r="CH30" i="2"/>
  <c r="AQ30" i="2"/>
  <c r="BD30" i="2"/>
  <c r="BB30" i="2" s="1"/>
  <c r="AQ26" i="2"/>
  <c r="BN27" i="2"/>
  <c r="BL27" i="2" s="1"/>
  <c r="M27" i="2" s="1"/>
  <c r="BN28" i="2"/>
  <c r="BL28" i="2" s="1"/>
  <c r="M28" i="2" s="1"/>
  <c r="CD29" i="2"/>
  <c r="BD31" i="2"/>
  <c r="BB31" i="2" s="1"/>
  <c r="CH13" i="2"/>
  <c r="CA17" i="2"/>
  <c r="AX18" i="2"/>
  <c r="CB21" i="2"/>
  <c r="CH23" i="2"/>
  <c r="AK24" i="2"/>
  <c r="CE27" i="2"/>
  <c r="BX28" i="2"/>
  <c r="AX29" i="2"/>
  <c r="BN32" i="2"/>
  <c r="BL32" i="2" s="1"/>
  <c r="M32" i="2" s="1"/>
  <c r="T92" i="1"/>
  <c r="AE248" i="1"/>
  <c r="T174" i="1"/>
  <c r="AE174" i="1" s="1"/>
  <c r="AE103" i="1"/>
  <c r="AE105" i="1"/>
  <c r="AE107" i="1"/>
  <c r="AE184" i="1"/>
  <c r="AE410" i="1"/>
  <c r="T186" i="1"/>
  <c r="AE246" i="1"/>
  <c r="AE375" i="1"/>
  <c r="J10" i="2"/>
  <c r="AJ7" i="2"/>
  <c r="AQ14" i="2"/>
  <c r="E14" i="2"/>
  <c r="T183" i="1"/>
  <c r="AE220" i="1"/>
  <c r="AE227" i="1"/>
  <c r="AE232" i="1"/>
  <c r="AE367" i="1"/>
  <c r="T385" i="1"/>
  <c r="AE385" i="1" s="1"/>
  <c r="T392" i="1"/>
  <c r="T417" i="1"/>
  <c r="AE513" i="1"/>
  <c r="T517" i="1"/>
  <c r="AE517" i="1" s="1"/>
  <c r="T547" i="1"/>
  <c r="AE547" i="1" s="1"/>
  <c r="CH8" i="2"/>
  <c r="Z7" i="2"/>
  <c r="X8" i="2"/>
  <c r="BD8" i="2"/>
  <c r="BE7" i="2"/>
  <c r="E8" i="2"/>
  <c r="CC9" i="2"/>
  <c r="CE10" i="2"/>
  <c r="BN10" i="2"/>
  <c r="BL10" i="2" s="1"/>
  <c r="M10" i="2" s="1"/>
  <c r="BO7" i="2"/>
  <c r="C11" i="2"/>
  <c r="AP7" i="2"/>
  <c r="CG18" i="2"/>
  <c r="H19" i="2"/>
  <c r="T182" i="1"/>
  <c r="AS7" i="2"/>
  <c r="F8" i="2"/>
  <c r="CB9" i="2"/>
  <c r="G9" i="2"/>
  <c r="Q9" i="2"/>
  <c r="AW7" i="2"/>
  <c r="BC7" i="2"/>
  <c r="C10" i="2"/>
  <c r="BX13" i="2"/>
  <c r="C13" i="2"/>
  <c r="CA14" i="2"/>
  <c r="AD14" i="2"/>
  <c r="F14" i="2"/>
  <c r="X16" i="2"/>
  <c r="L16" i="2"/>
  <c r="CG16" i="2"/>
  <c r="BX17" i="2"/>
  <c r="L18" i="2"/>
  <c r="T192" i="1"/>
  <c r="AE208" i="1"/>
  <c r="AE314" i="1"/>
  <c r="AE456" i="1"/>
  <c r="AE486" i="1"/>
  <c r="T422" i="1"/>
  <c r="AE422" i="1" s="1"/>
  <c r="AE104" i="1"/>
  <c r="AE313" i="1"/>
  <c r="AE378" i="1"/>
  <c r="T408" i="1"/>
  <c r="T529" i="1"/>
  <c r="AE529" i="1" s="1"/>
  <c r="AF7" i="2"/>
  <c r="BZ11" i="2"/>
  <c r="Q11" i="2"/>
  <c r="E11" i="2"/>
  <c r="R7" i="2"/>
  <c r="AQ12" i="2"/>
  <c r="G12" i="2"/>
  <c r="AQ13" i="2"/>
  <c r="F13" i="2"/>
  <c r="CB14" i="2"/>
  <c r="G14" i="2"/>
  <c r="Q14" i="2"/>
  <c r="AG7" i="2"/>
  <c r="AD8" i="2"/>
  <c r="CD8" i="2"/>
  <c r="CC12" i="2"/>
  <c r="H12" i="2"/>
  <c r="BZ12" i="2"/>
  <c r="AX14" i="2"/>
  <c r="L14" i="2"/>
  <c r="CG15" i="2"/>
  <c r="BD16" i="2"/>
  <c r="BB16" i="2" s="1"/>
  <c r="T406" i="1"/>
  <c r="AE406" i="1" s="1"/>
  <c r="AA5" i="1"/>
  <c r="AE196" i="1"/>
  <c r="AE244" i="1"/>
  <c r="T522" i="1"/>
  <c r="AE522" i="1" s="1"/>
  <c r="CG9" i="2"/>
  <c r="X9" i="2"/>
  <c r="L9" i="2"/>
  <c r="Y7" i="2"/>
  <c r="AD10" i="2"/>
  <c r="AE7" i="2"/>
  <c r="CB13" i="2"/>
  <c r="G13" i="2"/>
  <c r="AD13" i="2"/>
  <c r="CH15" i="2"/>
  <c r="CC21" i="2"/>
  <c r="H21" i="2"/>
  <c r="Q21" i="2"/>
  <c r="AE95" i="1"/>
  <c r="AE250" i="1"/>
  <c r="AE317" i="1"/>
  <c r="AE380" i="1"/>
  <c r="AE381" i="1"/>
  <c r="CB8" i="2"/>
  <c r="BD9" i="2"/>
  <c r="BB9" i="2" s="1"/>
  <c r="I11" i="2"/>
  <c r="CD12" i="2"/>
  <c r="I12" i="2"/>
  <c r="CC13" i="2"/>
  <c r="H13" i="2"/>
  <c r="AK14" i="2"/>
  <c r="AQ16" i="2"/>
  <c r="J19" i="2"/>
  <c r="AE354" i="1"/>
  <c r="T525" i="1"/>
  <c r="AE525" i="1" s="1"/>
  <c r="CC8" i="2"/>
  <c r="H8" i="2"/>
  <c r="U7" i="2"/>
  <c r="Q8" i="2"/>
  <c r="CA10" i="2"/>
  <c r="F10" i="2"/>
  <c r="S7" i="2"/>
  <c r="CD11" i="2"/>
  <c r="BD15" i="2"/>
  <c r="BB15" i="2" s="1"/>
  <c r="CD19" i="2"/>
  <c r="AE241" i="1"/>
  <c r="AE300" i="1"/>
  <c r="T415" i="1"/>
  <c r="AE415" i="1" s="1"/>
  <c r="AK8" i="2"/>
  <c r="AL7" i="2"/>
  <c r="CG8" i="2"/>
  <c r="L8" i="2"/>
  <c r="BP7" i="2"/>
  <c r="AQ9" i="2"/>
  <c r="E9" i="2"/>
  <c r="I10" i="2"/>
  <c r="AV7" i="2"/>
  <c r="CE11" i="2"/>
  <c r="J11" i="2"/>
  <c r="AX13" i="2"/>
  <c r="T83" i="1"/>
  <c r="AE83" i="1" s="1"/>
  <c r="T391" i="1"/>
  <c r="T434" i="1"/>
  <c r="AE434" i="1" s="1"/>
  <c r="T536" i="1"/>
  <c r="AE536" i="1" s="1"/>
  <c r="BA7" i="2"/>
  <c r="BQ7" i="2"/>
  <c r="BN8" i="2"/>
  <c r="BL8" i="2" s="1"/>
  <c r="AD9" i="2"/>
  <c r="AX12" i="2"/>
  <c r="N12" i="2"/>
  <c r="CI14" i="2"/>
  <c r="N14" i="2"/>
  <c r="X14" i="2"/>
  <c r="F23" i="2"/>
  <c r="CA23" i="2"/>
  <c r="BZ23" i="2"/>
  <c r="Q23" i="2"/>
  <c r="E23" i="2"/>
  <c r="CD30" i="2"/>
  <c r="I30" i="2"/>
  <c r="AX30" i="2"/>
  <c r="CI31" i="2"/>
  <c r="N31" i="2"/>
  <c r="CI26" i="2"/>
  <c r="N26" i="2"/>
  <c r="CE30" i="2"/>
  <c r="J30" i="2"/>
  <c r="J9" i="2"/>
  <c r="H11" i="2"/>
  <c r="C16" i="2"/>
  <c r="AQ17" i="2"/>
  <c r="CC24" i="2"/>
  <c r="BZ27" i="2"/>
  <c r="BN30" i="2"/>
  <c r="BL30" i="2" s="1"/>
  <c r="M30" i="2" s="1"/>
  <c r="AD31" i="2"/>
  <c r="AQ31" i="2"/>
  <c r="G31" i="2"/>
  <c r="CG32" i="2"/>
  <c r="E15" i="2"/>
  <c r="Q15" i="2"/>
  <c r="BZ15" i="2"/>
  <c r="E17" i="2"/>
  <c r="AD17" i="2"/>
  <c r="F17" i="2"/>
  <c r="BN18" i="2"/>
  <c r="BL18" i="2" s="1"/>
  <c r="M18" i="2" s="1"/>
  <c r="CE19" i="2"/>
  <c r="H23" i="2"/>
  <c r="CD24" i="2"/>
  <c r="I24" i="2"/>
  <c r="AX24" i="2"/>
  <c r="CA27" i="2"/>
  <c r="F27" i="2"/>
  <c r="CE29" i="2"/>
  <c r="J29" i="2"/>
  <c r="CH32" i="2"/>
  <c r="BD32" i="2"/>
  <c r="BB32" i="2" s="1"/>
  <c r="AE462" i="1"/>
  <c r="F15" i="2"/>
  <c r="E16" i="2"/>
  <c r="Q16" i="2"/>
  <c r="H17" i="2"/>
  <c r="CB17" i="2"/>
  <c r="G17" i="2"/>
  <c r="CI17" i="2"/>
  <c r="X19" i="2"/>
  <c r="BN19" i="2"/>
  <c r="BL19" i="2" s="1"/>
  <c r="M19" i="2" s="1"/>
  <c r="BZ20" i="2"/>
  <c r="Q20" i="2"/>
  <c r="E20" i="2"/>
  <c r="BD20" i="2"/>
  <c r="BB20" i="2" s="1"/>
  <c r="I21" i="2"/>
  <c r="X21" i="2"/>
  <c r="AX21" i="2"/>
  <c r="AD26" i="2"/>
  <c r="CH28" i="2"/>
  <c r="CE23" i="2"/>
  <c r="J23" i="2"/>
  <c r="CG28" i="2"/>
  <c r="X28" i="2"/>
  <c r="L28" i="2"/>
  <c r="CC31" i="2"/>
  <c r="H31" i="2"/>
  <c r="AQ32" i="2"/>
  <c r="F32" i="2"/>
  <c r="P7" i="2"/>
  <c r="AN7" i="2"/>
  <c r="AZ7" i="2"/>
  <c r="C8" i="2"/>
  <c r="BX8" i="2"/>
  <c r="N9" i="2"/>
  <c r="AK10" i="2"/>
  <c r="L11" i="2"/>
  <c r="X11" i="2"/>
  <c r="CG11" i="2"/>
  <c r="J13" i="2"/>
  <c r="I14" i="2"/>
  <c r="H15" i="2"/>
  <c r="C18" i="2"/>
  <c r="AD18" i="2"/>
  <c r="E18" i="2"/>
  <c r="N21" i="2"/>
  <c r="CA26" i="2"/>
  <c r="AK27" i="2"/>
  <c r="CG27" i="2"/>
  <c r="L27" i="2"/>
  <c r="AC7" i="2"/>
  <c r="BM7" i="2"/>
  <c r="C9" i="2"/>
  <c r="N10" i="2"/>
  <c r="L12" i="2"/>
  <c r="X12" i="2"/>
  <c r="J14" i="2"/>
  <c r="I15" i="2"/>
  <c r="H16" i="2"/>
  <c r="CB16" i="2"/>
  <c r="CA18" i="2"/>
  <c r="F18" i="2"/>
  <c r="Q18" i="2"/>
  <c r="CC20" i="2"/>
  <c r="BD21" i="2"/>
  <c r="BB21" i="2" s="1"/>
  <c r="CB26" i="2"/>
  <c r="G26" i="2"/>
  <c r="BX30" i="2"/>
  <c r="C30" i="2"/>
  <c r="F20" i="2"/>
  <c r="CD20" i="2"/>
  <c r="I20" i="2"/>
  <c r="BX24" i="2"/>
  <c r="C24" i="2"/>
  <c r="CD31" i="2"/>
  <c r="I31" i="2"/>
  <c r="CB32" i="2"/>
  <c r="G32" i="2"/>
  <c r="AD32" i="2"/>
  <c r="CA8" i="2"/>
  <c r="BX11" i="2"/>
  <c r="CG14" i="2"/>
  <c r="AD19" i="2"/>
  <c r="G20" i="2"/>
  <c r="C23" i="2"/>
  <c r="CH27" i="2"/>
  <c r="X27" i="2"/>
  <c r="T7" i="2"/>
  <c r="AR7" i="2"/>
  <c r="G8" i="2"/>
  <c r="F9" i="2"/>
  <c r="E10" i="2"/>
  <c r="Q10" i="2"/>
  <c r="C12" i="2"/>
  <c r="N13" i="2"/>
  <c r="L15" i="2"/>
  <c r="X15" i="2"/>
  <c r="C19" i="2"/>
  <c r="BZ19" i="2"/>
  <c r="CG20" i="2"/>
  <c r="X20" i="2"/>
  <c r="L20" i="2"/>
  <c r="AQ21" i="2"/>
  <c r="AQ24" i="2"/>
  <c r="BN26" i="2"/>
  <c r="BL26" i="2" s="1"/>
  <c r="M26" i="2" s="1"/>
  <c r="BD28" i="2"/>
  <c r="BB28" i="2" s="1"/>
  <c r="G21" i="2"/>
  <c r="AD21" i="2"/>
  <c r="BD23" i="2"/>
  <c r="BB23" i="2" s="1"/>
  <c r="CH26" i="2"/>
  <c r="AK26" i="2"/>
  <c r="BZ28" i="2"/>
  <c r="Q28" i="2"/>
  <c r="E28" i="2"/>
  <c r="AQ28" i="2"/>
  <c r="AQ29" i="2"/>
  <c r="CC32" i="2"/>
  <c r="H32" i="2"/>
  <c r="C20" i="2"/>
  <c r="E26" i="2"/>
  <c r="Q26" i="2"/>
  <c r="BZ26" i="2"/>
  <c r="C28" i="2"/>
  <c r="N29" i="2"/>
  <c r="L31" i="2"/>
  <c r="X31" i="2"/>
  <c r="E19" i="2"/>
  <c r="Q19" i="2"/>
  <c r="C21" i="2"/>
  <c r="I23" i="2"/>
  <c r="H24" i="2"/>
  <c r="F26" i="2"/>
  <c r="E27" i="2"/>
  <c r="Q27" i="2"/>
  <c r="C29" i="2"/>
  <c r="N30" i="2"/>
  <c r="L32" i="2"/>
  <c r="X32" i="2"/>
  <c r="G28" i="2"/>
  <c r="F29" i="2"/>
  <c r="AD29" i="2"/>
  <c r="AB29" i="2" s="1"/>
  <c r="Q30" i="2"/>
  <c r="L24" i="2"/>
  <c r="X24" i="2"/>
  <c r="F30" i="2"/>
  <c r="AD30" i="2"/>
  <c r="E31" i="2"/>
  <c r="Q31" i="2"/>
  <c r="BZ31" i="2"/>
  <c r="N23" i="2"/>
  <c r="J27" i="2"/>
  <c r="I28" i="2"/>
  <c r="H29" i="2"/>
  <c r="G30" i="2"/>
  <c r="F31" i="2"/>
  <c r="E32" i="2"/>
  <c r="Q32" i="2"/>
  <c r="N24" i="2"/>
  <c r="L26" i="2"/>
  <c r="X26" i="2"/>
  <c r="J28" i="2"/>
  <c r="I29" i="2"/>
  <c r="H30" i="2"/>
  <c r="AE539" i="1" l="1"/>
  <c r="T238" i="1"/>
  <c r="AE238" i="1" s="1"/>
  <c r="CF10" i="2"/>
  <c r="AO18" i="2"/>
  <c r="O17" i="2"/>
  <c r="CC7" i="2"/>
  <c r="AB30" i="2"/>
  <c r="AO30" i="2"/>
  <c r="AO16" i="2"/>
  <c r="AB21" i="2"/>
  <c r="AE189" i="1"/>
  <c r="U5" i="1"/>
  <c r="O18" i="2"/>
  <c r="AE409" i="1"/>
  <c r="AO23" i="2"/>
  <c r="AB32" i="2"/>
  <c r="CF21" i="2"/>
  <c r="AO9" i="2"/>
  <c r="AB9" i="2"/>
  <c r="CF19" i="2"/>
  <c r="CH7" i="2"/>
  <c r="AO19" i="2"/>
  <c r="AE93" i="1"/>
  <c r="AB13" i="2"/>
  <c r="AE90" i="1"/>
  <c r="AE530" i="1"/>
  <c r="CA7" i="2"/>
  <c r="CF32" i="2"/>
  <c r="CE7" i="2"/>
  <c r="AB16" i="2"/>
  <c r="AO31" i="2"/>
  <c r="CF11" i="2"/>
  <c r="AB11" i="2"/>
  <c r="AE393" i="1"/>
  <c r="CF16" i="2"/>
  <c r="AB28" i="2"/>
  <c r="AB12" i="2"/>
  <c r="AE185" i="1"/>
  <c r="AO15" i="2"/>
  <c r="AO10" i="2"/>
  <c r="CF23" i="2"/>
  <c r="AB15" i="2"/>
  <c r="BY12" i="2"/>
  <c r="AO29" i="2"/>
  <c r="AO17" i="2"/>
  <c r="AO11" i="2"/>
  <c r="O9" i="2"/>
  <c r="AO28" i="2"/>
  <c r="CD7" i="2"/>
  <c r="AB23" i="2"/>
  <c r="AO32" i="2"/>
  <c r="BY24" i="2"/>
  <c r="AE94" i="1"/>
  <c r="AO8" i="2"/>
  <c r="AB17" i="2"/>
  <c r="CF12" i="2"/>
  <c r="AE540" i="1"/>
  <c r="CF15" i="2"/>
  <c r="CF27" i="2"/>
  <c r="AB20" i="2"/>
  <c r="CF14" i="2"/>
  <c r="AO27" i="2"/>
  <c r="K12" i="2"/>
  <c r="CF13" i="2"/>
  <c r="AE493" i="1"/>
  <c r="AB19" i="2"/>
  <c r="CF28" i="2"/>
  <c r="CF20" i="2"/>
  <c r="CF18" i="2"/>
  <c r="CF17" i="2"/>
  <c r="CF30" i="2"/>
  <c r="AO20" i="2"/>
  <c r="CF9" i="2"/>
  <c r="AE257" i="1"/>
  <c r="CI7" i="2"/>
  <c r="AO21" i="2"/>
  <c r="AB24" i="2"/>
  <c r="O13" i="2"/>
  <c r="D30" i="2"/>
  <c r="K27" i="2"/>
  <c r="P498" i="1"/>
  <c r="P5" i="1" s="1"/>
  <c r="Q5" i="1"/>
  <c r="D21" i="2"/>
  <c r="AO24" i="2"/>
  <c r="K20" i="2"/>
  <c r="AE459" i="1"/>
  <c r="CF29" i="2"/>
  <c r="CB7" i="2"/>
  <c r="AB31" i="2"/>
  <c r="O29" i="2"/>
  <c r="BW29" i="2" s="1"/>
  <c r="BY30" i="2"/>
  <c r="CF31" i="2"/>
  <c r="CG7" i="2"/>
  <c r="AB18" i="2"/>
  <c r="BY14" i="2"/>
  <c r="AB27" i="2"/>
  <c r="K13" i="2"/>
  <c r="D29" i="2"/>
  <c r="D24" i="2"/>
  <c r="K21" i="2"/>
  <c r="J41" i="2"/>
  <c r="K17" i="2"/>
  <c r="K19" i="2"/>
  <c r="AE193" i="1"/>
  <c r="AO26" i="2"/>
  <c r="K29" i="2"/>
  <c r="AB8" i="2"/>
  <c r="D13" i="2"/>
  <c r="CF24" i="2"/>
  <c r="D19" i="2"/>
  <c r="AX7" i="2"/>
  <c r="D17" i="2"/>
  <c r="D12" i="2"/>
  <c r="I41" i="2"/>
  <c r="I39" i="2"/>
  <c r="I38" i="2" s="1"/>
  <c r="AO12" i="2"/>
  <c r="BZ7" i="2"/>
  <c r="K10" i="2"/>
  <c r="D10" i="2"/>
  <c r="N7" i="2"/>
  <c r="J7" i="2"/>
  <c r="BL7" i="2"/>
  <c r="M8" i="2"/>
  <c r="M7" i="2" s="1"/>
  <c r="E41" i="2"/>
  <c r="D32" i="2"/>
  <c r="AE183" i="1"/>
  <c r="D11" i="2"/>
  <c r="CF26" i="2"/>
  <c r="BY19" i="2"/>
  <c r="O19" i="2"/>
  <c r="BY16" i="2"/>
  <c r="O16" i="2"/>
  <c r="BY15" i="2"/>
  <c r="O15" i="2"/>
  <c r="D23" i="2"/>
  <c r="BY11" i="2"/>
  <c r="O11" i="2"/>
  <c r="BY17" i="2"/>
  <c r="J39" i="2"/>
  <c r="J38" i="2" s="1"/>
  <c r="AE182" i="1"/>
  <c r="G39" i="2"/>
  <c r="G38" i="2" s="1"/>
  <c r="G7" i="2"/>
  <c r="BY26" i="2"/>
  <c r="O26" i="2"/>
  <c r="H41" i="2"/>
  <c r="BX7" i="2"/>
  <c r="D20" i="2"/>
  <c r="D16" i="2"/>
  <c r="D15" i="2"/>
  <c r="BY23" i="2"/>
  <c r="O23" i="2"/>
  <c r="AK7" i="2"/>
  <c r="AD7" i="2"/>
  <c r="AE192" i="1"/>
  <c r="K18" i="2"/>
  <c r="I7" i="2"/>
  <c r="AE417" i="1"/>
  <c r="K26" i="2"/>
  <c r="BY27" i="2"/>
  <c r="O27" i="2"/>
  <c r="D26" i="2"/>
  <c r="BY20" i="2"/>
  <c r="O20" i="2"/>
  <c r="E39" i="2"/>
  <c r="E38" i="2" s="1"/>
  <c r="D8" i="2"/>
  <c r="E7" i="2"/>
  <c r="AE392" i="1"/>
  <c r="AE186" i="1"/>
  <c r="BY31" i="2"/>
  <c r="O31" i="2"/>
  <c r="D27" i="2"/>
  <c r="BY29" i="2"/>
  <c r="O30" i="2"/>
  <c r="F41" i="2"/>
  <c r="BN7" i="2"/>
  <c r="AE408" i="1"/>
  <c r="AB10" i="2"/>
  <c r="AQ7" i="2"/>
  <c r="BD7" i="2"/>
  <c r="BB8" i="2"/>
  <c r="BB7" i="2" s="1"/>
  <c r="D28" i="2"/>
  <c r="K11" i="2"/>
  <c r="C41" i="2"/>
  <c r="BY21" i="2"/>
  <c r="K16" i="2"/>
  <c r="O24" i="2"/>
  <c r="O14" i="2"/>
  <c r="CF8" i="2"/>
  <c r="X7" i="2"/>
  <c r="AE391" i="1"/>
  <c r="K15" i="2"/>
  <c r="BY8" i="2"/>
  <c r="Q7" i="2"/>
  <c r="O8" i="2"/>
  <c r="K14" i="2"/>
  <c r="BY9" i="2"/>
  <c r="D14" i="2"/>
  <c r="D31" i="2"/>
  <c r="BY28" i="2"/>
  <c r="O28" i="2"/>
  <c r="G41" i="2"/>
  <c r="AB26" i="2"/>
  <c r="D9" i="2"/>
  <c r="K9" i="2"/>
  <c r="AO13" i="2"/>
  <c r="AO14" i="2"/>
  <c r="AE92" i="1"/>
  <c r="K28" i="2"/>
  <c r="H39" i="2"/>
  <c r="H38" i="2" s="1"/>
  <c r="H7" i="2"/>
  <c r="AB14" i="2"/>
  <c r="C39" i="2"/>
  <c r="C38" i="2" s="1"/>
  <c r="C7" i="2"/>
  <c r="L39" i="2"/>
  <c r="L38" i="2" s="1"/>
  <c r="L7" i="2"/>
  <c r="O12" i="2"/>
  <c r="K24" i="2"/>
  <c r="K31" i="2"/>
  <c r="BY32" i="2"/>
  <c r="O32" i="2"/>
  <c r="K23" i="2"/>
  <c r="L41" i="2"/>
  <c r="K32" i="2"/>
  <c r="O21" i="2"/>
  <c r="K30" i="2"/>
  <c r="BY10" i="2"/>
  <c r="O10" i="2"/>
  <c r="BY18" i="2"/>
  <c r="D18" i="2"/>
  <c r="F39" i="2"/>
  <c r="F38" i="2" s="1"/>
  <c r="F7" i="2"/>
  <c r="BY13" i="2"/>
  <c r="T5" i="1" l="1"/>
  <c r="BW21" i="2"/>
  <c r="BW30" i="2"/>
  <c r="BW17" i="2"/>
  <c r="B18" i="2"/>
  <c r="BW18" i="2"/>
  <c r="BW9" i="2"/>
  <c r="BW28" i="2"/>
  <c r="BW13" i="2"/>
  <c r="BW20" i="2"/>
  <c r="B20" i="2"/>
  <c r="BW32" i="2"/>
  <c r="BW11" i="2"/>
  <c r="B24" i="2"/>
  <c r="K8" i="2"/>
  <c r="B8" i="2" s="1"/>
  <c r="BW12" i="2"/>
  <c r="BW15" i="2"/>
  <c r="BW16" i="2"/>
  <c r="BW23" i="2"/>
  <c r="B10" i="2"/>
  <c r="B13" i="2"/>
  <c r="B30" i="2"/>
  <c r="BW27" i="2"/>
  <c r="BW24" i="2"/>
  <c r="B21" i="2"/>
  <c r="BW31" i="2"/>
  <c r="B12" i="2"/>
  <c r="BW19" i="2"/>
  <c r="B27" i="2"/>
  <c r="BW10" i="2"/>
  <c r="B26" i="2"/>
  <c r="B11" i="2"/>
  <c r="B14" i="2"/>
  <c r="B19" i="2"/>
  <c r="AO7" i="2"/>
  <c r="B29" i="2"/>
  <c r="B9" i="2"/>
  <c r="B16" i="2"/>
  <c r="AB7" i="2"/>
  <c r="B17" i="2"/>
  <c r="CF7" i="2"/>
  <c r="B23" i="2"/>
  <c r="B28" i="2"/>
  <c r="D41" i="2"/>
  <c r="B32" i="2"/>
  <c r="O7" i="2"/>
  <c r="BW8" i="2"/>
  <c r="BW26" i="2"/>
  <c r="B31" i="2"/>
  <c r="BY7" i="2"/>
  <c r="D39" i="2"/>
  <c r="D38" i="2" s="1"/>
  <c r="D7" i="2"/>
  <c r="B15" i="2"/>
  <c r="BW14" i="2"/>
  <c r="AE5" i="1"/>
  <c r="K7" i="2" l="1"/>
  <c r="B7" i="2" s="1"/>
  <c r="B39" i="2"/>
  <c r="B38" i="2" s="1"/>
  <c r="BW7" i="2"/>
  <c r="B4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Administrator</author>
    <author>User</author>
    <author>j1</author>
    <author>user</author>
  </authors>
  <commentList>
    <comment ref="E2" authorId="0" shapeId="0" xr:uid="{00000000-0006-0000-0000-000001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경기도 정비사업 
온누리시스템 상의 
사업구역명과 일치시킬 것
</t>
        </r>
      </text>
    </comment>
    <comment ref="P2" authorId="1" shapeId="0" xr:uid="{00000000-0006-0000-0000-000002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국토교통부 반기보 내용 추가 (신축주택 분양, 임대 세대수 상인한 경우 필히 확인 요망)
</t>
        </r>
      </text>
    </comment>
    <comment ref="AN2" authorId="1" shapeId="0" xr:uid="{00000000-0006-0000-0000-000003000000}">
      <text>
        <r>
          <rPr>
            <sz val="11"/>
            <color theme="1"/>
            <rFont val="맑은 고딕"/>
            <family val="2"/>
            <charset val="129"/>
            <scheme val="minor"/>
          </rPr>
          <t>"도시 및 주거환경정비 기본계획" 상 정비구역 지정 예정일 기재</t>
        </r>
      </text>
    </comment>
    <comment ref="AN72" authorId="1" shapeId="0" xr:uid="{00000000-0006-0000-0000-000004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H74" authorId="1" shapeId="0" xr:uid="{00000000-0006-0000-0000-000005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정비기본계획상의 필지수로 기재함
</t>
        </r>
      </text>
    </comment>
    <comment ref="AN74" authorId="1" shapeId="0" xr:uid="{00000000-0006-0000-0000-000006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H75" authorId="1" shapeId="0" xr:uid="{00000000-0006-0000-0000-000007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정비기본계획상의 필지수로 기재함
</t>
        </r>
      </text>
    </comment>
    <comment ref="AN75" authorId="1" shapeId="0" xr:uid="{00000000-0006-0000-0000-000008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H83" authorId="1" shapeId="0" xr:uid="{00000000-0006-0000-0000-000009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정비기본계획상의 필지수로 기재함
</t>
        </r>
      </text>
    </comment>
    <comment ref="AN83" authorId="1" shapeId="0" xr:uid="{00000000-0006-0000-0000-00000A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O83" authorId="1" shapeId="0" xr:uid="{00000000-0006-0000-0000-00000B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P83" authorId="1" shapeId="0" xr:uid="{00000000-0006-0000-0000-00000C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H84" authorId="1" shapeId="0" xr:uid="{00000000-0006-0000-0000-00000D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정비기본계획상 필지수로 기재함
</t>
        </r>
      </text>
    </comment>
    <comment ref="AN84" authorId="1" shapeId="0" xr:uid="{00000000-0006-0000-0000-00000E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O84" authorId="1" shapeId="0" xr:uid="{00000000-0006-0000-0000-00000F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P84" authorId="1" shapeId="0" xr:uid="{00000000-0006-0000-0000-000010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AH88" authorId="1" shapeId="0" xr:uid="{00000000-0006-0000-0000-000011000000}">
      <text>
        <r>
          <rPr>
            <sz val="11"/>
            <color theme="1"/>
            <rFont val="맑은 고딕"/>
            <family val="2"/>
            <charset val="129"/>
            <scheme val="minor"/>
          </rPr>
          <t>정비기본계획상의 필지수로 기재함</t>
        </r>
      </text>
    </comment>
    <comment ref="AN88" authorId="1" shapeId="0" xr:uid="{00000000-0006-0000-0000-000012000000}">
      <text>
        <r>
          <rPr>
            <sz val="11"/>
            <color theme="1"/>
            <rFont val="맑은 고딕"/>
            <family val="2"/>
            <charset val="129"/>
            <scheme val="minor"/>
          </rPr>
          <t>Administrator:
2030 정비기본계획상에 기재된 정비구역 예정시기 기재</t>
        </r>
      </text>
    </comment>
    <comment ref="R91" authorId="2" shapeId="0" xr:uid="{00000000-0006-0000-0000-000013000000}">
      <text>
        <r>
          <rPr>
            <sz val="11"/>
            <color theme="1"/>
            <rFont val="맑은 고딕"/>
            <family val="2"/>
            <charset val="129"/>
            <scheme val="minor"/>
          </rPr>
          <t>보류지 18</t>
        </r>
      </text>
    </comment>
    <comment ref="E158" authorId="1" shapeId="0" xr:uid="{00000000-0006-0000-0000-000014000000}">
      <text>
        <r>
          <rPr>
            <sz val="11"/>
            <color theme="1"/>
            <rFont val="맑은 고딕"/>
            <family val="2"/>
            <charset val="129"/>
            <scheme val="minor"/>
          </rPr>
          <t>2030 부천시 도시주거환경기본계획에 따라 심곡본 2-1 주택재개발 -&gt; 심곡본 3-1 재건축으로 변경</t>
        </r>
      </text>
    </comment>
    <comment ref="E159" authorId="1" shapeId="0" xr:uid="{00000000-0006-0000-0000-000015000000}">
      <text>
        <r>
          <rPr>
            <sz val="11"/>
            <color theme="1"/>
            <rFont val="맑은 고딕"/>
            <family val="2"/>
            <charset val="129"/>
            <scheme val="minor"/>
          </rPr>
          <t>2030 부천시 도시주거환경정비기본계획에 따라 심곡본2-2 주택재개발 -&gt; 심곡본 3-2 재건축으로 변경</t>
        </r>
      </text>
    </comment>
    <comment ref="X175" authorId="1" shapeId="0" xr:uid="{00000000-0006-0000-0000-000016000000}">
      <text>
        <r>
          <rPr>
            <sz val="11"/>
            <color theme="1"/>
            <rFont val="맑은 고딕"/>
            <family val="2"/>
            <charset val="129"/>
            <scheme val="minor"/>
          </rPr>
          <t>*통계 목적상 기존 세대수로 기재함.
*계획 세대수 부재(정비구역 미지정)</t>
        </r>
      </text>
    </comment>
    <comment ref="AR175" authorId="1" shapeId="0" xr:uid="{00000000-0006-0000-0000-000017000000}">
      <text>
        <r>
          <rPr>
            <sz val="11"/>
            <color theme="1"/>
            <rFont val="맑은 고딕"/>
            <family val="2"/>
            <charset val="129"/>
            <scheme val="minor"/>
          </rPr>
          <t>구역지정 전 추진위 승인</t>
        </r>
      </text>
    </comment>
    <comment ref="AR177" authorId="1" shapeId="0" xr:uid="{00000000-0006-0000-0000-000018000000}">
      <text>
        <r>
          <rPr>
            <sz val="11"/>
            <color theme="1"/>
            <rFont val="맑은 고딕"/>
            <family val="2"/>
            <charset val="129"/>
            <scheme val="minor"/>
          </rPr>
          <t>'06.11.7 추진위 승인</t>
        </r>
      </text>
    </comment>
    <comment ref="AY177" authorId="1" shapeId="0" xr:uid="{00000000-0006-0000-0000-000019000000}">
      <text>
        <r>
          <rPr>
            <sz val="11"/>
            <color theme="1"/>
            <rFont val="맑은 고딕"/>
            <family val="2"/>
            <charset val="129"/>
            <scheme val="minor"/>
          </rPr>
          <t>'09.2.27 조합인가</t>
        </r>
      </text>
    </comment>
    <comment ref="AR178" authorId="1" shapeId="0" xr:uid="{00000000-0006-0000-0000-00001A000000}">
      <text>
        <r>
          <rPr>
            <sz val="11"/>
            <color theme="1"/>
            <rFont val="맑은 고딕"/>
            <family val="2"/>
            <charset val="129"/>
            <scheme val="minor"/>
          </rPr>
          <t>'06.12.15 추진위 승인</t>
        </r>
      </text>
    </comment>
    <comment ref="AY178" authorId="1" shapeId="0" xr:uid="{00000000-0006-0000-0000-00001B000000}">
      <text>
        <r>
          <rPr>
            <sz val="11"/>
            <color theme="1"/>
            <rFont val="맑은 고딕"/>
            <family val="2"/>
            <charset val="129"/>
            <scheme val="minor"/>
          </rPr>
          <t>'11.6.20 조합인가</t>
        </r>
      </text>
    </comment>
    <comment ref="D180" authorId="3" shapeId="0" xr:uid="{00000000-0006-0000-0000-00001C000000}">
      <text>
        <r>
          <rPr>
            <sz val="11"/>
            <color theme="1"/>
            <rFont val="맑은 고딕"/>
            <family val="2"/>
            <charset val="129"/>
            <scheme val="minor"/>
          </rPr>
          <t>소사3 구역 재개발사업 정비계획 수립 고시로 사업유형 변경[부천시 고시 제2018-176호(2018.08.27.)]
(변경)도시환경정비사업 → 재개발사업</t>
        </r>
      </text>
    </comment>
    <comment ref="D303" authorId="3" shapeId="0" xr:uid="{00000000-0006-0000-0000-00001D000000}">
      <text>
        <r>
          <rPr>
            <sz val="11"/>
            <color theme="1"/>
            <rFont val="맑은 고딕"/>
            <family val="2"/>
            <charset val="129"/>
            <scheme val="minor"/>
          </rPr>
          <t>안양역세권지구 주택재개발정비계획(경미한)변경고시로 사업유형 변경[안양시 고시 제2018-191호(2018.12.18.)](변경)도시환경정비사업 → 재개발사업</t>
        </r>
      </text>
    </comment>
    <comment ref="AY313" authorId="4" shapeId="0" xr:uid="{00000000-0006-0000-0000-00001E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사업시행자 지정
- 코리아신탁
</t>
        </r>
      </text>
    </comment>
    <comment ref="AU316" authorId="1" shapeId="0" xr:uid="{00000000-0006-0000-0000-00001F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97년 11월까지만 기재되어 있어 일자 30일 임의임력(도 담당자)
</t>
        </r>
      </text>
    </comment>
    <comment ref="D324" authorId="3" shapeId="0" xr:uid="{00000000-0006-0000-0000-000020000000}">
      <text>
        <r>
          <rPr>
            <sz val="11"/>
            <color theme="1"/>
            <rFont val="맑은 고딕"/>
            <family val="2"/>
            <charset val="129"/>
            <scheme val="minor"/>
          </rPr>
          <t>비산1동주민센터 주변지구 개발정비사업 정비구역 지정 및 정비계획변경고시로 사업유형 변경[안양시 고시 제2018-109호(2018.07.27.)](변경)도시환경정비사업 → 재개발사업</t>
        </r>
      </text>
    </comment>
    <comment ref="D332" authorId="2" shapeId="0" xr:uid="{00000000-0006-0000-0000-000021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사업유형유보구역
</t>
        </r>
      </text>
    </comment>
    <comment ref="D333" authorId="2" shapeId="0" xr:uid="{00000000-0006-0000-0000-000022000000}">
      <text>
        <r>
          <rPr>
            <sz val="11"/>
            <color theme="1"/>
            <rFont val="맑은 고딕"/>
            <family val="2"/>
            <charset val="129"/>
            <scheme val="minor"/>
          </rPr>
          <t>사업유형유보구역</t>
        </r>
      </text>
    </comment>
    <comment ref="I375" authorId="1" shapeId="0" xr:uid="{00000000-0006-0000-0000-000023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13년 최초 사업계획 자료 기초로 기재함
</t>
        </r>
      </text>
    </comment>
    <comment ref="X406" authorId="1" shapeId="0" xr:uid="{00000000-0006-0000-0000-000024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*통계 목적상 기존 세대수로 기재함.
*정비계획 상 계획 세대수
- ~60m2 : 20%이상
- 60~85m2 : 40%이상
- 85m2~ : 40%이하
</t>
        </r>
      </text>
    </comment>
    <comment ref="AR486" authorId="1" shapeId="0" xr:uid="{00000000-0006-0000-0000-000025000000}">
      <text>
        <r>
          <rPr>
            <sz val="11"/>
            <color theme="1"/>
            <rFont val="맑은 고딕"/>
            <family val="2"/>
            <charset val="129"/>
            <scheme val="minor"/>
          </rPr>
          <t>구역지정 전 추진위 승인</t>
        </r>
      </text>
    </comment>
    <comment ref="BC535" authorId="0" shapeId="0" xr:uid="{00000000-0006-0000-0000-000026000000}">
      <text>
        <r>
          <rPr>
            <sz val="11"/>
            <color theme="1"/>
            <rFont val="맑은 고딕"/>
            <family val="2"/>
            <charset val="129"/>
            <scheme val="minor"/>
          </rPr>
          <t>입주자모집공고 승인일 : 2025.09.12.</t>
        </r>
      </text>
    </comment>
    <comment ref="G539" authorId="0" shapeId="0" xr:uid="{00000000-0006-0000-0000-000027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변경전 32,535
변경후 32,534.7(감0.3)
</t>
        </r>
      </text>
    </comment>
    <comment ref="AZ539" authorId="4" shapeId="0" xr:uid="{00000000-0006-0000-0000-000028000000}">
      <text>
        <r>
          <rPr>
            <sz val="11"/>
            <color theme="1"/>
            <rFont val="맑은 고딕"/>
            <family val="2"/>
            <charset val="129"/>
            <scheme val="minor"/>
          </rPr>
          <t xml:space="preserve">2016-12-19 변경인가
</t>
        </r>
      </text>
    </comment>
    <comment ref="R540" authorId="4" shapeId="0" xr:uid="{00000000-0006-0000-0000-000029000000}">
      <text>
        <r>
          <rPr>
            <sz val="11"/>
            <color theme="1"/>
            <rFont val="맑은 고딕"/>
            <family val="2"/>
            <charset val="129"/>
            <scheme val="minor"/>
          </rPr>
          <t>보류지 4세대 포함(순수일반분양 162)</t>
        </r>
      </text>
    </comment>
    <comment ref="AZ544" authorId="4" shapeId="0" xr:uid="{00000000-0006-0000-0000-00002A000000}">
      <text>
        <r>
          <rPr>
            <sz val="11"/>
            <color theme="1"/>
            <rFont val="맑은 고딕"/>
            <family val="2"/>
            <charset val="129"/>
            <scheme val="minor"/>
          </rPr>
          <t>사업시행인가 
2011-07-08
사업시행인가 취소
2016-10-18</t>
        </r>
      </text>
    </comment>
  </commentList>
</comments>
</file>

<file path=xl/sharedStrings.xml><?xml version="1.0" encoding="utf-8"?>
<sst xmlns="http://schemas.openxmlformats.org/spreadsheetml/2006/main" count="5705" uniqueCount="1619">
  <si>
    <t>□ 경기도 일반 정비사업 추진현황 세부내역 (2026년도 2/4분기 자료)</t>
  </si>
  <si>
    <t>연번</t>
  </si>
  <si>
    <t>시군</t>
  </si>
  <si>
    <t>사업단계</t>
  </si>
  <si>
    <t>사업유형</t>
  </si>
  <si>
    <t>정비구역명</t>
  </si>
  <si>
    <t>위치</t>
  </si>
  <si>
    <t>구역면적
(㎡)</t>
  </si>
  <si>
    <t>기존주택
준공년도</t>
  </si>
  <si>
    <t>기존주택</t>
  </si>
  <si>
    <t>사업시행 세대수</t>
  </si>
  <si>
    <t>신축세대수</t>
  </si>
  <si>
    <t>증가물량
(신축-기존)</t>
  </si>
  <si>
    <t>용적률</t>
  </si>
  <si>
    <t>토지등소유자</t>
  </si>
  <si>
    <t>사업시행자(토지등소유자,조합,조합+LH)</t>
  </si>
  <si>
    <t>사업예정기간</t>
  </si>
  <si>
    <t>기본계획 수립(정비예정구역고시일)</t>
  </si>
  <si>
    <t>정비구역 지정 
예정일</t>
  </si>
  <si>
    <t>정비계획 수립일</t>
  </si>
  <si>
    <t>정비구역지정</t>
  </si>
  <si>
    <t>추진위
승인
(최초)</t>
  </si>
  <si>
    <t>현지조사</t>
  </si>
  <si>
    <t>안전진단(미통과 단지도 기재)</t>
  </si>
  <si>
    <t>조합설립
인가
(최초)</t>
  </si>
  <si>
    <t>사업시행
인가
(최초)</t>
  </si>
  <si>
    <t>관리처분
인가
(최초)</t>
  </si>
  <si>
    <t>착공일</t>
  </si>
  <si>
    <t>일반
분양일</t>
  </si>
  <si>
    <t>준공일</t>
  </si>
  <si>
    <t>이전
고시일</t>
  </si>
  <si>
    <t>해산일</t>
  </si>
  <si>
    <t>청산일</t>
  </si>
  <si>
    <t>업무담당자
(전화번호)</t>
  </si>
  <si>
    <t>비고</t>
  </si>
  <si>
    <t>동수</t>
  </si>
  <si>
    <t>세대수</t>
  </si>
  <si>
    <t>합계</t>
  </si>
  <si>
    <t>분양</t>
  </si>
  <si>
    <t>임대</t>
  </si>
  <si>
    <t>계</t>
  </si>
  <si>
    <t>기존</t>
  </si>
  <si>
    <t>신축</t>
  </si>
  <si>
    <t>토지등소유자수</t>
  </si>
  <si>
    <t>조합원수</t>
  </si>
  <si>
    <t>시작</t>
  </si>
  <si>
    <t>완료</t>
  </si>
  <si>
    <t>최초</t>
  </si>
  <si>
    <t>변경</t>
  </si>
  <si>
    <t>예정연도</t>
  </si>
  <si>
    <t>실시일</t>
  </si>
  <si>
    <t>등급</t>
  </si>
  <si>
    <t>적정성 검토</t>
  </si>
  <si>
    <t>~40㎡</t>
  </si>
  <si>
    <t>40~60㎡</t>
  </si>
  <si>
    <t>60~85㎡</t>
  </si>
  <si>
    <t>85~135㎡</t>
  </si>
  <si>
    <t>135㎡~</t>
  </si>
  <si>
    <t>조합원</t>
  </si>
  <si>
    <t>일반</t>
  </si>
  <si>
    <t>실시 여부</t>
  </si>
  <si>
    <t>실시 결과</t>
  </si>
  <si>
    <t>정비구역</t>
  </si>
  <si>
    <t>추진위</t>
  </si>
  <si>
    <t>조합설립</t>
  </si>
  <si>
    <t>사업시행</t>
  </si>
  <si>
    <t>관리처분</t>
  </si>
  <si>
    <t>착공</t>
  </si>
  <si>
    <t>준공</t>
  </si>
  <si>
    <t>청산</t>
  </si>
  <si>
    <t>-</t>
  </si>
  <si>
    <t>수원시</t>
  </si>
  <si>
    <t>예정구역</t>
  </si>
  <si>
    <t>재건축</t>
  </si>
  <si>
    <t>원천1(아주아파트)</t>
  </si>
  <si>
    <t>영통구 원천동 71-1일원</t>
  </si>
  <si>
    <t>C</t>
  </si>
  <si>
    <t>우만1(우만주공1,2단지)</t>
  </si>
  <si>
    <t>팔달구 우만동 28일원</t>
  </si>
  <si>
    <t>E</t>
  </si>
  <si>
    <t>망포1(청와아파트)</t>
  </si>
  <si>
    <t>영통구 망포동 291일원</t>
  </si>
  <si>
    <t>D</t>
  </si>
  <si>
    <t>세류1(미영아파트)</t>
  </si>
  <si>
    <t>권선구 세류동 1147일원</t>
  </si>
  <si>
    <t>재개발</t>
  </si>
  <si>
    <t>팔달2매산(성매매집결지)</t>
  </si>
  <si>
    <t>매산로1가 114-3 일원</t>
  </si>
  <si>
    <t>추진위원회</t>
  </si>
  <si>
    <t>영통3구역(원천주공)</t>
  </si>
  <si>
    <t>영통구 원천동 35번지</t>
  </si>
  <si>
    <t>장안구 파장동 212-5일원</t>
  </si>
  <si>
    <t>조합</t>
  </si>
  <si>
    <t>권선구 구운동 462일원</t>
  </si>
  <si>
    <t>권선구 서둔동 361-1</t>
  </si>
  <si>
    <t>팔달구 우만동 129-1</t>
  </si>
  <si>
    <t>권선구 서둔동 361</t>
  </si>
  <si>
    <t xml:space="preserve"> </t>
  </si>
  <si>
    <t>영통구 매탄동 173-50일원</t>
  </si>
  <si>
    <t>1980~2011</t>
  </si>
  <si>
    <t>미정</t>
  </si>
  <si>
    <t>영통구 매탄동 897</t>
  </si>
  <si>
    <t>73%, 127%</t>
  </si>
  <si>
    <t>팔달구 인계동 319-6 일원</t>
  </si>
  <si>
    <t>1978~2005</t>
  </si>
  <si>
    <t>LH</t>
  </si>
  <si>
    <t>장안구 영화동 93-6일원</t>
  </si>
  <si>
    <t>1942-2006</t>
  </si>
  <si>
    <t>2006</t>
  </si>
  <si>
    <t>115-10</t>
  </si>
  <si>
    <t>팔달구 지동 349-1일원</t>
  </si>
  <si>
    <t>1984~2005</t>
  </si>
  <si>
    <t>주거환경개선</t>
  </si>
  <si>
    <t>권선구 평동 35-6 일원</t>
  </si>
  <si>
    <t>1900~1980</t>
  </si>
  <si>
    <t>면적구분 없음</t>
  </si>
  <si>
    <t>현지개량</t>
  </si>
  <si>
    <t>市</t>
  </si>
  <si>
    <t>장안구 정자동 530-6일원</t>
  </si>
  <si>
    <t>1950~2005</t>
  </si>
  <si>
    <t>113-12</t>
  </si>
  <si>
    <t>권선구 오목천동 482-2일원</t>
  </si>
  <si>
    <t>115-2구역
(고등지구)</t>
  </si>
  <si>
    <t>팔달구 고등동 270번지 일원</t>
  </si>
  <si>
    <t>인계주공아파트</t>
  </si>
  <si>
    <t>수원시 팔달구 인계동 384, 465</t>
  </si>
  <si>
    <t>계획수립 전 추진</t>
  </si>
  <si>
    <t>우람아파트</t>
  </si>
  <si>
    <t>수원시 팔달구 화서동 349-1</t>
  </si>
  <si>
    <t>113-4구역(세류지구)</t>
  </si>
  <si>
    <t>권선구 세류동 334-88 일원</t>
  </si>
  <si>
    <t>매산지구</t>
  </si>
  <si>
    <t>매산로3가 109-2번지일원</t>
  </si>
  <si>
    <t>1955~2013</t>
  </si>
  <si>
    <t>행궁지구</t>
  </si>
  <si>
    <t>장안동 110-7번지 일원</t>
  </si>
  <si>
    <t>1923~2010</t>
  </si>
  <si>
    <t>해산</t>
  </si>
  <si>
    <t>115-9</t>
  </si>
  <si>
    <t>팔달구 인계동 847-3일원</t>
  </si>
  <si>
    <t>115-8</t>
  </si>
  <si>
    <t>팔달구 매교동 209-14일원</t>
  </si>
  <si>
    <t>115-6</t>
  </si>
  <si>
    <t>팔달구 교동 155-41일원</t>
  </si>
  <si>
    <t>111-4</t>
  </si>
  <si>
    <t>장안구 조원동 431-2일원</t>
  </si>
  <si>
    <t>1972~2005</t>
  </si>
  <si>
    <t>111-5구역</t>
  </si>
  <si>
    <t>장안구 연무동 224 일원</t>
  </si>
  <si>
    <t>115-1</t>
  </si>
  <si>
    <t>팔달구 화서동 4-26일원</t>
  </si>
  <si>
    <t>2014</t>
  </si>
  <si>
    <t>매탄주공2단지아파트</t>
  </si>
  <si>
    <t>수원시 영통구 매탄동 176</t>
  </si>
  <si>
    <t>향원아파트</t>
  </si>
  <si>
    <t>수원시 팔달구 인계동  865-10</t>
  </si>
  <si>
    <t>권선주공 1.3차아파트</t>
  </si>
  <si>
    <t>수원시 권선구 권선동 1067</t>
  </si>
  <si>
    <t>송림아파트</t>
  </si>
  <si>
    <t>수원시 장안구 정자1동 423-1</t>
  </si>
  <si>
    <t>화서주공 2단지아파트</t>
  </si>
  <si>
    <t>수원시 팔달구 화서동 79-5</t>
  </si>
  <si>
    <t>권선주공 2단지아파트</t>
  </si>
  <si>
    <t>수원시 권선구 권선동 1035, 1036</t>
  </si>
  <si>
    <t xml:space="preserve">   </t>
  </si>
  <si>
    <t>천천주공</t>
  </si>
  <si>
    <t>수원시 장안구 천천동 333</t>
  </si>
  <si>
    <t>성남시</t>
  </si>
  <si>
    <t>한신아파트</t>
  </si>
  <si>
    <t>수정구 신흥동 2463-1 일원</t>
  </si>
  <si>
    <t>선경논골아파트</t>
  </si>
  <si>
    <t>수정구 단대동 6 일원</t>
  </si>
  <si>
    <t>삼익금광아파트</t>
  </si>
  <si>
    <t>중원구 금광동 3950 일원</t>
  </si>
  <si>
    <t>삼익상대원아파트</t>
  </si>
  <si>
    <t>중원구 상대원동 152-3 일원</t>
  </si>
  <si>
    <t>성남동현대아파트</t>
  </si>
  <si>
    <t>중원구 성남동 3120 일원</t>
  </si>
  <si>
    <t>두산아파트</t>
  </si>
  <si>
    <t>수정구 신흥동 2024 일원</t>
  </si>
  <si>
    <t>시영(황송마을)아파트</t>
  </si>
  <si>
    <t>중원구 금광동 2450-1 일원</t>
  </si>
  <si>
    <t>일성아파트</t>
  </si>
  <si>
    <t>중원구 상대원동 178-6 일원</t>
  </si>
  <si>
    <t xml:space="preserve">  </t>
  </si>
  <si>
    <t>청구아파트</t>
  </si>
  <si>
    <t>수정구 신흥동 2464-1 일원</t>
  </si>
  <si>
    <t>선경상대원2차아파트</t>
  </si>
  <si>
    <t>중원구 상대원동 279-1 일원</t>
  </si>
  <si>
    <t>미도아파트</t>
  </si>
  <si>
    <t>수정구 단대동 182번지 일원</t>
  </si>
  <si>
    <t>은행동현대아파트</t>
  </si>
  <si>
    <t>중원구 은행동 1932-6번지</t>
  </si>
  <si>
    <t>태평3</t>
  </si>
  <si>
    <t>수정구 태평동 4580번지 일원</t>
  </si>
  <si>
    <t>1980~2000</t>
  </si>
  <si>
    <t>100~200%</t>
  </si>
  <si>
    <t>신흥3</t>
  </si>
  <si>
    <t>수정구 신흥동 2890번지 일원</t>
  </si>
  <si>
    <t>26.04.06</t>
  </si>
  <si>
    <t>수진2구역 생활권 재개발사업</t>
  </si>
  <si>
    <t>수정구 수진동 3603번지 일원</t>
  </si>
  <si>
    <t>2026.12.예정</t>
  </si>
  <si>
    <t>태평2,4구역 생활권 재개발사업</t>
  </si>
  <si>
    <t>수정구 태평동 1180번지 일원</t>
  </si>
  <si>
    <t>산성구역 생활권 재개발사업</t>
  </si>
  <si>
    <t>수정구 산성동 74번지 일원</t>
  </si>
  <si>
    <t>단대구역 생활권 재개발사업</t>
  </si>
  <si>
    <t>수정구 단대동 48-2번지 일원</t>
  </si>
  <si>
    <t>상대원1·3구역 생활권 재개발사업</t>
  </si>
  <si>
    <t>중원구 상대원동 817번지 일원</t>
  </si>
  <si>
    <t>태평1구역 생활권 재개발사업</t>
  </si>
  <si>
    <t>수정구 태평동 5878번지 일원</t>
  </si>
  <si>
    <t>2027.03.예정</t>
  </si>
  <si>
    <t>은행1·금광2구역 생활권 재개발사업</t>
  </si>
  <si>
    <t>중원구 은행동 1947번지 일원</t>
  </si>
  <si>
    <t>신흥1</t>
  </si>
  <si>
    <t>수정구 신흥동 4900번지 일원</t>
  </si>
  <si>
    <t>수진1</t>
  </si>
  <si>
    <t>수정구 수진동 963번지 일원</t>
  </si>
  <si>
    <t>은행주공아파트</t>
  </si>
  <si>
    <t>중원구 은행동 550번지 일원</t>
  </si>
  <si>
    <t>성지․궁전아파트</t>
  </si>
  <si>
    <t>중원구 상대원동 195-5번지일원</t>
  </si>
  <si>
    <t>상대원2</t>
  </si>
  <si>
    <t>중원구 상대원동 3910번지 일원</t>
  </si>
  <si>
    <t>상대원3</t>
  </si>
  <si>
    <t>중원구 상대원동 2780번지 일원</t>
  </si>
  <si>
    <t>중원구 중앙동 196번지 일원</t>
  </si>
  <si>
    <t>100~300%</t>
  </si>
  <si>
    <t>산성</t>
  </si>
  <si>
    <t>수정구 산성동 1336번지 일원</t>
  </si>
  <si>
    <t>도환중1</t>
  </si>
  <si>
    <t>중원구 중앙동 912번지 일원</t>
  </si>
  <si>
    <t>신흥2</t>
  </si>
  <si>
    <t>수정구 신흥동 1132번지 일원</t>
  </si>
  <si>
    <t>중1</t>
  </si>
  <si>
    <t>중원구 중앙동 2979번지 일원</t>
  </si>
  <si>
    <t>금광1</t>
  </si>
  <si>
    <t>중원구 금광동 34번지 일원</t>
  </si>
  <si>
    <t>태평2</t>
  </si>
  <si>
    <t>수정구 남문로 69번길 11일원</t>
  </si>
  <si>
    <t>태평4</t>
  </si>
  <si>
    <t>수정구 남문로 135번길 11일원</t>
  </si>
  <si>
    <t>수진2</t>
  </si>
  <si>
    <t>수정구 수정로88번길 18 일원</t>
  </si>
  <si>
    <t>단대</t>
  </si>
  <si>
    <t>수정구 단대동 108-6번지 일원</t>
  </si>
  <si>
    <t>중3</t>
  </si>
  <si>
    <t>중원구 중동 1500번지 일원</t>
  </si>
  <si>
    <t>산성2지구</t>
  </si>
  <si>
    <t>산성동 513일원</t>
  </si>
  <si>
    <t>1970~2000</t>
  </si>
  <si>
    <t>은행2지구</t>
  </si>
  <si>
    <t>은행2동 1342일원</t>
  </si>
  <si>
    <t>350~400%</t>
  </si>
  <si>
    <t>市+LH</t>
  </si>
  <si>
    <t>단대동</t>
  </si>
  <si>
    <t>산성대로 383번길 14일원(단대동 177)</t>
  </si>
  <si>
    <t>신흥주택재건축</t>
  </si>
  <si>
    <t>수정구 신흥동 6951</t>
  </si>
  <si>
    <t>건우아파트</t>
  </si>
  <si>
    <t>수정구 태평동 7346</t>
  </si>
  <si>
    <t>삼창아파트</t>
  </si>
  <si>
    <t>중원구 중앙동 3748-1</t>
  </si>
  <si>
    <t>삼남아파트</t>
  </si>
  <si>
    <t>중원구 중앙동 578</t>
  </si>
  <si>
    <t>금광3</t>
  </si>
  <si>
    <t>중원구 금광동 2600번지</t>
  </si>
  <si>
    <t>용인시</t>
  </si>
  <si>
    <t>삼가1</t>
  </si>
  <si>
    <t>처인구 삼가동 110번지 일원</t>
  </si>
  <si>
    <t>230~250%</t>
  </si>
  <si>
    <t>삼가2</t>
  </si>
  <si>
    <t>처인구 삼가동 216번지 일원</t>
  </si>
  <si>
    <t>용인3(역북1)</t>
  </si>
  <si>
    <t>처인구 역북동 454번지 일원(동일)</t>
  </si>
  <si>
    <t>180~250%</t>
  </si>
  <si>
    <t>김량장1</t>
  </si>
  <si>
    <t>처인구 김량장동 226-6번지 일원</t>
  </si>
  <si>
    <t>마평2</t>
  </si>
  <si>
    <t>처인구 마평동 612-4번지 일원</t>
  </si>
  <si>
    <t>고림2</t>
  </si>
  <si>
    <t>처인구 고림동 794-29번지 일원</t>
  </si>
  <si>
    <t>마북1</t>
  </si>
  <si>
    <t>기흥구 마북동 295-7번지 일원</t>
  </si>
  <si>
    <t>처인2</t>
  </si>
  <si>
    <t>처인구 마평동 605-1번지 일원</t>
  </si>
  <si>
    <t>처인3</t>
  </si>
  <si>
    <t>이동읍 천리 118-1번지 일원</t>
  </si>
  <si>
    <t>처인4</t>
  </si>
  <si>
    <t>처인구 유방동 1007-1번지 일원</t>
  </si>
  <si>
    <t>처인5</t>
  </si>
  <si>
    <t>처인구 유방동 1007-50번지 일원</t>
  </si>
  <si>
    <t>처인6</t>
  </si>
  <si>
    <t>처인구 김량장동 4-2번지 일원</t>
  </si>
  <si>
    <t>기흥4</t>
  </si>
  <si>
    <t>기흥구 신갈동 116-2번지 일원</t>
  </si>
  <si>
    <t>O</t>
  </si>
  <si>
    <t>기흥5</t>
  </si>
  <si>
    <t>기흥구 구갈동 384-1번지 일원</t>
  </si>
  <si>
    <t>기흥6</t>
  </si>
  <si>
    <t>기흥구 고매동 385-4번지 일원</t>
  </si>
  <si>
    <t>기흥7</t>
  </si>
  <si>
    <t>기흥구 구갈동 396번지 일원</t>
  </si>
  <si>
    <t>24.04.26</t>
  </si>
  <si>
    <t>기흥8</t>
  </si>
  <si>
    <t>기흥구 신갈동 14-4번지 일원</t>
  </si>
  <si>
    <t>수지4</t>
  </si>
  <si>
    <t>수지구 풍덕천동 690번지 일원</t>
  </si>
  <si>
    <t>수지5</t>
  </si>
  <si>
    <t>수지구 풍덕천동 693번지 일원</t>
  </si>
  <si>
    <t>수지6</t>
  </si>
  <si>
    <t>수지구 풍덕천동 664번지 일원</t>
  </si>
  <si>
    <t>수지7</t>
  </si>
  <si>
    <t>수지구 풍덕천동 700-1번지 일원</t>
  </si>
  <si>
    <t>수지8</t>
  </si>
  <si>
    <t>수지구 풍덕천동 692번지 일원</t>
  </si>
  <si>
    <t>수지9</t>
  </si>
  <si>
    <t>수지구 풍덕천동 694번지 일원</t>
  </si>
  <si>
    <t>수지10</t>
  </si>
  <si>
    <t>수지구 풍덕천동 703번지 일원</t>
  </si>
  <si>
    <t>수지11</t>
  </si>
  <si>
    <t>수지구 풍덕천동 699번지 일원</t>
  </si>
  <si>
    <t>수지12</t>
  </si>
  <si>
    <t>수지구 풍덕천동 691번지 일원</t>
  </si>
  <si>
    <t>처인1</t>
  </si>
  <si>
    <t>처인구 김량장동 201-3번지 일원</t>
  </si>
  <si>
    <t>25.10.21.</t>
  </si>
  <si>
    <t>기흥3</t>
  </si>
  <si>
    <t>기흥구 구갈동 385번지 일원</t>
  </si>
  <si>
    <t>25.02.28.</t>
  </si>
  <si>
    <t>기흥2</t>
  </si>
  <si>
    <t>기흥구 구갈동 385-1번지 일원</t>
  </si>
  <si>
    <t>수지2</t>
  </si>
  <si>
    <t>수지구 풍덕천동 698-2번지 일원</t>
  </si>
  <si>
    <t>대한토지신탁</t>
  </si>
  <si>
    <t>모현1</t>
  </si>
  <si>
    <t>처인구 모현읍 왕산리 789번지 일원</t>
  </si>
  <si>
    <t>기흥1</t>
  </si>
  <si>
    <t>기흥구 구갈동 380번지 일원</t>
  </si>
  <si>
    <t>수지1</t>
  </si>
  <si>
    <t>수지구 풍덕천동 663-1번지 일원</t>
  </si>
  <si>
    <t>수지3</t>
  </si>
  <si>
    <t>수지구 풍덕천동 692-1번지 일원</t>
  </si>
  <si>
    <t>용인7</t>
  </si>
  <si>
    <t>처인구 김량장동 159번지 일원</t>
  </si>
  <si>
    <t>이동2</t>
  </si>
  <si>
    <t>처인구 이동읍 천리 748-2 일원</t>
  </si>
  <si>
    <t>풍덕천1</t>
  </si>
  <si>
    <t>수지구 풍덕천동 678-1 일원</t>
  </si>
  <si>
    <t>고림1</t>
  </si>
  <si>
    <t>처인구 고림동 772-20 일원</t>
  </si>
  <si>
    <t>용인8</t>
  </si>
  <si>
    <t>처인구 김량장동 309-1번지 일원</t>
  </si>
  <si>
    <t>신갈2</t>
  </si>
  <si>
    <t>기흥구 신갈동 33-4 일원</t>
  </si>
  <si>
    <t>상갈1</t>
  </si>
  <si>
    <t>기흥구 상갈동 102-5 일원</t>
  </si>
  <si>
    <t>마평1</t>
  </si>
  <si>
    <t>처인구 마평동 732번지 일원</t>
  </si>
  <si>
    <t>1970~</t>
  </si>
  <si>
    <t>용인2</t>
  </si>
  <si>
    <t>처인구 역북동 795번지</t>
  </si>
  <si>
    <t>김량주공아파트(용인1구역)</t>
  </si>
  <si>
    <t>처인구 김량장동 526번지</t>
  </si>
  <si>
    <t>신갈주공아파트(기흥2구역)</t>
  </si>
  <si>
    <t>기흥구 신갈동 733번지</t>
  </si>
  <si>
    <t>용인9</t>
  </si>
  <si>
    <t>처인구 마평동 740번지 일원</t>
  </si>
  <si>
    <t>용인10</t>
  </si>
  <si>
    <t>처인구 마평동 601번지 일원</t>
  </si>
  <si>
    <t>양지1</t>
  </si>
  <si>
    <t>처인구 양지면 양지리 383번지 일원</t>
  </si>
  <si>
    <t>포곡1</t>
  </si>
  <si>
    <t>처인구 포곡읍 전대리 150번지 일원</t>
  </si>
  <si>
    <t>부천시</t>
  </si>
  <si>
    <t>괴안3-1, 괴안3-2, 괴안3-4구역</t>
  </si>
  <si>
    <t>괴안동 36번지 일원</t>
  </si>
  <si>
    <t>심곡본 3-1(부천롯데아파트)</t>
  </si>
  <si>
    <t>심곡본동 615-1번지 일원</t>
  </si>
  <si>
    <t>심곡본 3-2(부천극동아파트)</t>
  </si>
  <si>
    <t>심곡본동 566-1번지 일원</t>
  </si>
  <si>
    <t>소사본 3-2(부천한신아파트)</t>
  </si>
  <si>
    <t>소사본동 277-12번지 일원</t>
  </si>
  <si>
    <t>송내 3-1(송내동신아파트)</t>
  </si>
  <si>
    <t>송내동 441-8번지 일원</t>
  </si>
  <si>
    <t>고강 3-1(고강1,2차 아파트)</t>
  </si>
  <si>
    <t>고강동 246-5번지 일원</t>
  </si>
  <si>
    <t>1984, 1986</t>
  </si>
  <si>
    <t>원종 3-3(동진아파트)</t>
  </si>
  <si>
    <t>원종동 180-3</t>
  </si>
  <si>
    <t>소사본 3-1(성지아파트)</t>
  </si>
  <si>
    <t>소사본동 91-68</t>
  </si>
  <si>
    <t>약대 3-1(약대현대아파트)</t>
  </si>
  <si>
    <t>약대동 169-6번지 일원</t>
  </si>
  <si>
    <t>송내 3-2(현대아파트)</t>
  </si>
  <si>
    <t>송내동 450-1번지 일원</t>
  </si>
  <si>
    <t>원종 3-1(원종주공아파트)</t>
  </si>
  <si>
    <t>원종동 129-19번지 일원</t>
  </si>
  <si>
    <t>C등급 판정</t>
  </si>
  <si>
    <t>고강 3-2(미도아파트)</t>
  </si>
  <si>
    <t>고강동 327-7번지 일원</t>
  </si>
  <si>
    <t>괴안 3-5(삼익세라믹아파트)</t>
  </si>
  <si>
    <t>괴안동 204-16번지 일원</t>
  </si>
  <si>
    <t>원종 3-2(동문1차아파트)</t>
  </si>
  <si>
    <t>원종동 70-1번지 일원</t>
  </si>
  <si>
    <t>괴안 3-3(삼익3차 아파트)</t>
  </si>
  <si>
    <t>괴안동 204-1번지 일원</t>
  </si>
  <si>
    <t>심곡3-1</t>
  </si>
  <si>
    <t>심곡동 194번지 일원</t>
  </si>
  <si>
    <t>괴안3-6, 괴안3-7구역</t>
  </si>
  <si>
    <t>괴안동 171-6번지 일원</t>
  </si>
  <si>
    <t>심곡본동제1구역</t>
  </si>
  <si>
    <t>심곡본동 804번지 일원</t>
  </si>
  <si>
    <t>평균 1989</t>
  </si>
  <si>
    <t>생활권계획</t>
  </si>
  <si>
    <t>역곡1-2</t>
  </si>
  <si>
    <t>역곡동 75-3 일원</t>
  </si>
  <si>
    <t>성곡2-1</t>
  </si>
  <si>
    <t>원종동 352 일원</t>
  </si>
  <si>
    <t>도당1-1</t>
  </si>
  <si>
    <t>도당동 266-4번지 일원</t>
  </si>
  <si>
    <t>평균1983</t>
  </si>
  <si>
    <t>소사1-1</t>
  </si>
  <si>
    <t>소사동 8-5번지 일원</t>
  </si>
  <si>
    <t xml:space="preserve"> 100~200% </t>
  </si>
  <si>
    <t>소사3</t>
  </si>
  <si>
    <t>소사동 48-21 일원</t>
  </si>
  <si>
    <t>평균 1982</t>
  </si>
  <si>
    <t>소사본1-1</t>
  </si>
  <si>
    <t>소사본동 88-39 일원</t>
  </si>
  <si>
    <t>평균 1983</t>
  </si>
  <si>
    <t>괴안3D</t>
  </si>
  <si>
    <t>괴안동 201번지 일원</t>
  </si>
  <si>
    <t>뉴타운 전환</t>
  </si>
  <si>
    <t>송내1-1</t>
  </si>
  <si>
    <t>송내동 338번지 일원</t>
  </si>
  <si>
    <t>재건축판정</t>
  </si>
  <si>
    <t>계수.범박</t>
  </si>
  <si>
    <t>계수동 1-6 일원</t>
  </si>
  <si>
    <t>약대1</t>
  </si>
  <si>
    <t>약대동 216 일원</t>
  </si>
  <si>
    <t>괴안1-6</t>
  </si>
  <si>
    <t>괴안동 203-2 일원</t>
  </si>
  <si>
    <t>심곡본1-1</t>
  </si>
  <si>
    <t>심곡본동 801 일원</t>
  </si>
  <si>
    <t>약대주공</t>
  </si>
  <si>
    <t>약대동 181 일원</t>
  </si>
  <si>
    <t>삼경아파트</t>
  </si>
  <si>
    <t>원종동 144 일원</t>
  </si>
  <si>
    <t>동원아파트</t>
  </si>
  <si>
    <t>송내동 463-3일원</t>
  </si>
  <si>
    <t>중동주공</t>
  </si>
  <si>
    <t>중동 884외3 (현, 1288,1289)</t>
  </si>
  <si>
    <t>백동단지</t>
  </si>
  <si>
    <t>소사본동 157-1 외 99</t>
  </si>
  <si>
    <t>송내1-2</t>
  </si>
  <si>
    <t>송내동 427-32 일원</t>
  </si>
  <si>
    <t>약대2</t>
  </si>
  <si>
    <t>약대동 204 일원</t>
  </si>
  <si>
    <t>중동1-1</t>
  </si>
  <si>
    <t>중동 780 일원</t>
  </si>
  <si>
    <t>안산시</t>
  </si>
  <si>
    <t>와동연립1</t>
  </si>
  <si>
    <t>단원구 와동 830-1 일원</t>
  </si>
  <si>
    <t>1990~1992</t>
  </si>
  <si>
    <t>와동연립2</t>
  </si>
  <si>
    <t>단원구 와동 723-2 일원</t>
  </si>
  <si>
    <t>와동연립3</t>
  </si>
  <si>
    <t>단원구 와동 829 일원</t>
  </si>
  <si>
    <t>1989~1993</t>
  </si>
  <si>
    <t>와동연립4</t>
  </si>
  <si>
    <t>단원구 와동 851-1 일원</t>
  </si>
  <si>
    <t>1991~1995</t>
  </si>
  <si>
    <t>현대2월피</t>
  </si>
  <si>
    <t>상록구 월피동 448 일원</t>
  </si>
  <si>
    <t>1989~1990</t>
  </si>
  <si>
    <t>우성</t>
  </si>
  <si>
    <t>상록구 본오동 872-20</t>
  </si>
  <si>
    <t>한양수정</t>
  </si>
  <si>
    <t>단원구 선부동 1086</t>
  </si>
  <si>
    <t>1991~1992</t>
  </si>
  <si>
    <t>한양공작</t>
  </si>
  <si>
    <t>단원구 선부동 1085</t>
  </si>
  <si>
    <t>한양월피</t>
  </si>
  <si>
    <t>상록구 월피동 447 일원</t>
  </si>
  <si>
    <t>태영</t>
  </si>
  <si>
    <t>상록구 본오동 879-15</t>
  </si>
  <si>
    <t>월드상록수</t>
  </si>
  <si>
    <t>상록구 사동 1346 일원</t>
  </si>
  <si>
    <t>1993~1994</t>
  </si>
  <si>
    <t>군자주공15</t>
  </si>
  <si>
    <t>단원구 선부동 1080 일원</t>
  </si>
  <si>
    <t>1992~1993</t>
  </si>
  <si>
    <t>월피주공1</t>
  </si>
  <si>
    <t>상록구 월피동 444 일원</t>
  </si>
  <si>
    <t>본오1,2차</t>
  </si>
  <si>
    <t>상록구 사동 1505 일원</t>
  </si>
  <si>
    <t>1992~1994</t>
  </si>
  <si>
    <t>상록수요진</t>
  </si>
  <si>
    <t>상록구 사동 1345-1</t>
  </si>
  <si>
    <t>선경상록</t>
  </si>
  <si>
    <t>상록구 사동 1345</t>
  </si>
  <si>
    <t>한양산호</t>
  </si>
  <si>
    <t>단원구 선부동 1081</t>
  </si>
  <si>
    <t>성포주공11</t>
  </si>
  <si>
    <t>상록구 성포동 591 일원</t>
  </si>
  <si>
    <t>1994~1995</t>
  </si>
  <si>
    <t>신우아파트</t>
  </si>
  <si>
    <t>상록구 사동 1344-1 일원</t>
  </si>
  <si>
    <t>예누림아파트</t>
  </si>
  <si>
    <t>상록구 사동 1344</t>
  </si>
  <si>
    <t>현대1차상록수</t>
  </si>
  <si>
    <t>상록구 사동 1345-2</t>
  </si>
  <si>
    <t>주공10단지</t>
  </si>
  <si>
    <t>성포동 584번지 일원</t>
  </si>
  <si>
    <t>주공7단지</t>
  </si>
  <si>
    <t>고잔동 670번지 일원</t>
  </si>
  <si>
    <t>주공8단지</t>
  </si>
  <si>
    <t>고잔동 671번지 일원</t>
  </si>
  <si>
    <t>주공9단지</t>
  </si>
  <si>
    <t>고잔동 672번지 일원</t>
  </si>
  <si>
    <t>월피연립1</t>
  </si>
  <si>
    <t>상록구 월피동 443 일원</t>
  </si>
  <si>
    <t>한양상록수</t>
  </si>
  <si>
    <t>상록구 본오동 880</t>
  </si>
  <si>
    <t>군자주공11,12</t>
  </si>
  <si>
    <t>단원구 선부동 1078 일원</t>
  </si>
  <si>
    <t>1990~1991</t>
  </si>
  <si>
    <t>선경성포</t>
  </si>
  <si>
    <t>상록구 성포동 592</t>
  </si>
  <si>
    <t>성포연립1</t>
  </si>
  <si>
    <t>상록구 성포동 585-2 일원</t>
  </si>
  <si>
    <t>성포예술인</t>
  </si>
  <si>
    <t>성포동 583번지 일원</t>
  </si>
  <si>
    <t>주공4단지</t>
  </si>
  <si>
    <t>성포동 588번지 일원</t>
  </si>
  <si>
    <t>고잔연립4</t>
  </si>
  <si>
    <t>고잔동 661-3번지 일원</t>
  </si>
  <si>
    <t>1989~1991</t>
  </si>
  <si>
    <t>군자주공10</t>
  </si>
  <si>
    <t>선부동 1083번지 일원</t>
  </si>
  <si>
    <t>신탁</t>
  </si>
  <si>
    <t>월드아파트</t>
  </si>
  <si>
    <t>본오동 872번지 일원</t>
  </si>
  <si>
    <t>고잔연립5</t>
  </si>
  <si>
    <t>고잔동 610번지 일원</t>
  </si>
  <si>
    <t>1989~1994</t>
  </si>
  <si>
    <t>고잔연립6</t>
  </si>
  <si>
    <t>고잔동 612번지 일원</t>
  </si>
  <si>
    <t>현대1차아파트</t>
  </si>
  <si>
    <t>성포동 592-2번지 일원</t>
  </si>
  <si>
    <t>군자주공9</t>
  </si>
  <si>
    <t>선부동 967번지 일원</t>
  </si>
  <si>
    <t>고잔연립7</t>
  </si>
  <si>
    <t>고잔동 613-1번지 일원</t>
  </si>
  <si>
    <t>고잔연립2</t>
  </si>
  <si>
    <t>고잔동 576번지 일원</t>
  </si>
  <si>
    <t>1986~2004</t>
  </si>
  <si>
    <t>팔곡일동1</t>
  </si>
  <si>
    <t>팔곡일동 264-5번지 일원</t>
  </si>
  <si>
    <t>1956~2004</t>
  </si>
  <si>
    <t>기본계획 미반영</t>
  </si>
  <si>
    <t>주공6단지</t>
  </si>
  <si>
    <t>고잔동 676-2번지 일원</t>
  </si>
  <si>
    <t>㈜한국토지신탁, ㈜무궁화신탁</t>
  </si>
  <si>
    <t>선부연립1</t>
  </si>
  <si>
    <t>선부동 963번지 일원</t>
  </si>
  <si>
    <t>1988~1990</t>
  </si>
  <si>
    <t>고잔연립3</t>
  </si>
  <si>
    <t>고잔동 665-1번지 일원</t>
  </si>
  <si>
    <t>1989~1992</t>
  </si>
  <si>
    <t>주공5단지1</t>
  </si>
  <si>
    <t>고잔동 675번지 일원</t>
  </si>
  <si>
    <t>주공5단지2</t>
  </si>
  <si>
    <t>고잔동 674번지 일원</t>
  </si>
  <si>
    <t>고잔연립9</t>
  </si>
  <si>
    <t>고잔동 648-1번지 일원</t>
  </si>
  <si>
    <t>인정프린스아파트</t>
  </si>
  <si>
    <t>상록구 건건동 894-10</t>
  </si>
  <si>
    <t>산호연립</t>
  </si>
  <si>
    <t>상록구 건건동 894-14</t>
  </si>
  <si>
    <t>선부동2</t>
  </si>
  <si>
    <t>단원구 선부동 998번지 일원</t>
  </si>
  <si>
    <t>1987∼2006</t>
  </si>
  <si>
    <t>중앙주공2단지</t>
  </si>
  <si>
    <t>단원구 고잔동 538</t>
  </si>
  <si>
    <t>동명아파트</t>
  </si>
  <si>
    <t>단원구 선부동 1082</t>
  </si>
  <si>
    <t>군자주공4단지</t>
  </si>
  <si>
    <t>단원구 초지동 604</t>
  </si>
  <si>
    <t>고잔연립8</t>
  </si>
  <si>
    <t>고잔동 631-1번지 일원</t>
  </si>
  <si>
    <t>선부동3</t>
  </si>
  <si>
    <t>단원구 선부동 1007번지 일원</t>
  </si>
  <si>
    <t>1988~2004</t>
  </si>
  <si>
    <t>원곡연립1단지</t>
  </si>
  <si>
    <t>단원구 원곡동 829일원</t>
  </si>
  <si>
    <t>1981~1995</t>
  </si>
  <si>
    <t>원곡연립2단지</t>
  </si>
  <si>
    <t>단원구 원곡동 838일원</t>
  </si>
  <si>
    <t>군자주공7단지</t>
  </si>
  <si>
    <t>단원구 선부동 961</t>
  </si>
  <si>
    <t>군자주공6단지</t>
  </si>
  <si>
    <t>단원구 선부동 953</t>
  </si>
  <si>
    <t>초지연립1단지</t>
  </si>
  <si>
    <t>단원구 초지동 590일원</t>
  </si>
  <si>
    <t>1983~1996</t>
  </si>
  <si>
    <t>초지연립상단지</t>
  </si>
  <si>
    <t>단원구 초지동 605일원</t>
  </si>
  <si>
    <t>1981~2002</t>
  </si>
  <si>
    <t>고잔연립1단지</t>
  </si>
  <si>
    <t>단원구 고잔동 586일원</t>
  </si>
  <si>
    <t>1985~1988</t>
  </si>
  <si>
    <t>군자주공8단지</t>
  </si>
  <si>
    <t>단원구 선부동 959 일원</t>
  </si>
  <si>
    <t>건건동1(양지연립포함)</t>
  </si>
  <si>
    <t>건건동 606번지 일원</t>
  </si>
  <si>
    <t>1943~2001</t>
  </si>
  <si>
    <t>원곡연립3단지</t>
  </si>
  <si>
    <t>단원구 원곡동 848일원</t>
  </si>
  <si>
    <t>1980~1993</t>
  </si>
  <si>
    <t>성포주공3단지</t>
  </si>
  <si>
    <t>상록구 성포동 587</t>
  </si>
  <si>
    <t>중앙주공1단지</t>
  </si>
  <si>
    <t>단원구 고잔동 532</t>
  </si>
  <si>
    <t>군자주공5단지</t>
  </si>
  <si>
    <t>단원구 초지동 603-1</t>
  </si>
  <si>
    <t>안양시</t>
  </si>
  <si>
    <t>우주타운 주변</t>
  </si>
  <si>
    <t>석수2동 323-7 일원</t>
  </si>
  <si>
    <t>삼봉</t>
  </si>
  <si>
    <t>박달2동 605-15 일원</t>
  </si>
  <si>
    <t>인덕원중학교 주변(B블럭)</t>
  </si>
  <si>
    <t>관양동 1491-59 일원</t>
  </si>
  <si>
    <t>안양박물관 주변지역</t>
  </si>
  <si>
    <t>석수1동 210번지 일원</t>
  </si>
  <si>
    <t>능곡우성지역</t>
  </si>
  <si>
    <t>안양9동 737번지 일원</t>
  </si>
  <si>
    <t>정우오승아파트</t>
  </si>
  <si>
    <t xml:space="preserve">안양동 9111-1번지 일원 </t>
  </si>
  <si>
    <t>극동아파트</t>
  </si>
  <si>
    <t>박달동 139-202번지 일원</t>
  </si>
  <si>
    <t>삼천리태하양수아파트</t>
  </si>
  <si>
    <t>호계동 843-1번지 일원</t>
  </si>
  <si>
    <t>푸른마을삼성아파트</t>
  </si>
  <si>
    <t>호계동 931번지 일원</t>
  </si>
  <si>
    <t>충훈부 일원</t>
  </si>
  <si>
    <t>만안구 충훈동 768-6 일원</t>
  </si>
  <si>
    <t>금호타운아파트</t>
  </si>
  <si>
    <t>박달동 149-1번지 일원</t>
  </si>
  <si>
    <t>안양8동 행정복지센터 주변</t>
  </si>
  <si>
    <t>안양8동 564-5 일원</t>
  </si>
  <si>
    <t>호계럭키아파트</t>
  </si>
  <si>
    <t>동안구 호계동 570번지 일원</t>
  </si>
  <si>
    <t>'25.6월이후</t>
  </si>
  <si>
    <t>석수럭키아파트</t>
  </si>
  <si>
    <t>만안구 석수동 296번지 일원</t>
  </si>
  <si>
    <t>'22.6월이후</t>
  </si>
  <si>
    <t>진흥5차아파트</t>
  </si>
  <si>
    <t>만안구 안양동 908-4번지 일원</t>
  </si>
  <si>
    <t>프라자아파트</t>
  </si>
  <si>
    <t>만안구 안양동 762-2번지 일원</t>
  </si>
  <si>
    <t>260%/270%</t>
  </si>
  <si>
    <t>벽산아파트</t>
  </si>
  <si>
    <t>만안구 안양동 627-72번지 일원</t>
  </si>
  <si>
    <t>270%/800%</t>
  </si>
  <si>
    <t>만안초등학교 주변</t>
  </si>
  <si>
    <t>안양2동 857-17 일원</t>
  </si>
  <si>
    <t>만안도서관 주변</t>
  </si>
  <si>
    <t>안양6동 540-16 일원</t>
  </si>
  <si>
    <t>인덕원중학교(A블럭)</t>
  </si>
  <si>
    <t>관양동 1485-18 일원</t>
  </si>
  <si>
    <t>뉴골든아파트</t>
  </si>
  <si>
    <t>안양동 1024-1번지 일원</t>
  </si>
  <si>
    <t>박달우성아파트</t>
  </si>
  <si>
    <t>박달동 85번지 일원</t>
  </si>
  <si>
    <t>안양9동행정복지센터 주변</t>
  </si>
  <si>
    <t>안양9동 1031-27 일원</t>
  </si>
  <si>
    <t>성결대학교 주변</t>
  </si>
  <si>
    <t>안양8동 410-10 일원</t>
  </si>
  <si>
    <t>대흥아파트 주변</t>
  </si>
  <si>
    <t>박달1동 9-27 일원</t>
  </si>
  <si>
    <t>수촌마을(A블럭)</t>
  </si>
  <si>
    <t>관양동 1392 일원</t>
  </si>
  <si>
    <t>수촌마을(B블럭)</t>
  </si>
  <si>
    <t>관양동 1388-20 일원</t>
  </si>
  <si>
    <t>관양초등학교 주변</t>
  </si>
  <si>
    <t>관양동 1413-11 일원</t>
  </si>
  <si>
    <t>부림마을</t>
  </si>
  <si>
    <t>관양동 1471 일원</t>
  </si>
  <si>
    <t>중촌마을</t>
  </si>
  <si>
    <t>관양동 1425 일원</t>
  </si>
  <si>
    <t>무림아파트</t>
  </si>
  <si>
    <t>석수동 275-2번지 일원</t>
  </si>
  <si>
    <t>박달신안아파트</t>
  </si>
  <si>
    <t>박달동 152번지 일원</t>
  </si>
  <si>
    <t>종합운동장 동측</t>
  </si>
  <si>
    <t>동안구 비산동 1047-20 일원</t>
  </si>
  <si>
    <t>종합운동장북측일원</t>
  </si>
  <si>
    <t>동안구 비산동 1015-22 일원</t>
  </si>
  <si>
    <t>현대아파트</t>
  </si>
  <si>
    <t>동안구 관양1동 1396번지 일원</t>
  </si>
  <si>
    <t>향림아파트</t>
  </si>
  <si>
    <t>안양시 만안구 안양동43-1번지</t>
  </si>
  <si>
    <t>1
(단독주택)</t>
  </si>
  <si>
    <t>135%</t>
  </si>
  <si>
    <t>미륭아파트</t>
  </si>
  <si>
    <t>동안구 비산2동 406번지 일원</t>
  </si>
  <si>
    <t>1979</t>
  </si>
  <si>
    <t>2012</t>
  </si>
  <si>
    <t>상록지구</t>
  </si>
  <si>
    <t>만안구 안양8동 398-32번지 일원</t>
  </si>
  <si>
    <t>평균 1986</t>
  </si>
  <si>
    <t>2008</t>
  </si>
  <si>
    <t>2023</t>
  </si>
  <si>
    <t>박달신한아파트</t>
  </si>
  <si>
    <t>만안구 박달2동 111-1번지 일원</t>
  </si>
  <si>
    <t>1986</t>
  </si>
  <si>
    <t>2015</t>
  </si>
  <si>
    <t>안양역세권지구</t>
  </si>
  <si>
    <t>만안구 안양2동 841-5번지 일원</t>
  </si>
  <si>
    <t>1943~2014</t>
  </si>
  <si>
    <t>뉴타운맨션 삼호아파트</t>
  </si>
  <si>
    <t>동안구 비산3동 354-10번지 일원</t>
  </si>
  <si>
    <t>1981/1985</t>
  </si>
  <si>
    <t>170~190%</t>
  </si>
  <si>
    <t>화창</t>
  </si>
  <si>
    <t>만안구 석수2동 348번지 일원</t>
  </si>
  <si>
    <t>평균 1985</t>
  </si>
  <si>
    <t>2009</t>
  </si>
  <si>
    <t>비산초교주변지구</t>
  </si>
  <si>
    <t>동안구 비산3동 281-1번지 일원</t>
  </si>
  <si>
    <t>1976~2007</t>
  </si>
  <si>
    <t>삼신6차아파트</t>
  </si>
  <si>
    <t>동안구 호계3동 651-1번지 일원</t>
  </si>
  <si>
    <t>1984</t>
  </si>
  <si>
    <t>진흥아파트</t>
  </si>
  <si>
    <t>만안구 안양1동 97-3번지 일원</t>
  </si>
  <si>
    <t>1983/1985</t>
  </si>
  <si>
    <t>융창아파트 주변</t>
  </si>
  <si>
    <t>동안구 호계2동 929번지 일원</t>
  </si>
  <si>
    <t xml:space="preserve"> 1978~2004 </t>
  </si>
  <si>
    <t>2011</t>
  </si>
  <si>
    <t>호계온천 주변</t>
  </si>
  <si>
    <t>동안구 호계2동 915번지 일원</t>
  </si>
  <si>
    <t>평균 1990</t>
  </si>
  <si>
    <t>2013</t>
  </si>
  <si>
    <t>냉천</t>
  </si>
  <si>
    <t>만안구 안양5동 618번지 일원</t>
  </si>
  <si>
    <t>1971~2002</t>
  </si>
  <si>
    <t>경기주택도시공사</t>
  </si>
  <si>
    <t>구사거리</t>
  </si>
  <si>
    <t>동안구 호계3동 661-1번지 일원</t>
  </si>
  <si>
    <t>2021</t>
  </si>
  <si>
    <t>진흥로얄아파트</t>
  </si>
  <si>
    <t>동안구 비산2동 577-1번지 일원</t>
  </si>
  <si>
    <t>150~199%</t>
  </si>
  <si>
    <t>코리아신탁</t>
  </si>
  <si>
    <t>비산2동주민자치센터주변</t>
  </si>
  <si>
    <t>만안구 비산2동 419-30번지 일원</t>
  </si>
  <si>
    <t>1980/1983</t>
  </si>
  <si>
    <t>덕천</t>
  </si>
  <si>
    <t>만안구 안양7동 148-1번지 일원</t>
  </si>
  <si>
    <t xml:space="preserve"> 1975~2003 </t>
  </si>
  <si>
    <t>2016</t>
  </si>
  <si>
    <t>청원아파트주변</t>
  </si>
  <si>
    <t>만안구 안양2동 80-4번지 일원</t>
  </si>
  <si>
    <t>1978</t>
  </si>
  <si>
    <t>2007</t>
  </si>
  <si>
    <t>주공아파트주변(단독주택)</t>
  </si>
  <si>
    <t>동안구 호계1동 981번지 일원</t>
  </si>
  <si>
    <t>2018</t>
  </si>
  <si>
    <t>석수한신아파트주변지구</t>
  </si>
  <si>
    <t>만안구 석수동 417-3번지 일원</t>
  </si>
  <si>
    <t>2010</t>
  </si>
  <si>
    <t>백조아파트지구</t>
  </si>
  <si>
    <t>만안구 석수동 374-5번지 일원</t>
  </si>
  <si>
    <t>1980</t>
  </si>
  <si>
    <t>석수주공2단지지구</t>
  </si>
  <si>
    <t>만안구 석수3동 788번지 일원</t>
  </si>
  <si>
    <t>1985</t>
  </si>
  <si>
    <t>석수주공3단지지구</t>
  </si>
  <si>
    <t>만안구 석수3동 787번지 일원</t>
  </si>
  <si>
    <t>박달1동 연합지구</t>
  </si>
  <si>
    <t>만안구 박달1동 37번지 일원</t>
  </si>
  <si>
    <t>동삼아파트지구</t>
  </si>
  <si>
    <t>만안구 석수2동 485-8번지 일원</t>
  </si>
  <si>
    <t>비산1동주민센터 주변</t>
  </si>
  <si>
    <t>동안구 비산1동 554번지 일원</t>
  </si>
  <si>
    <t>1983/1989</t>
  </si>
  <si>
    <t>삼영아파트 주변</t>
  </si>
  <si>
    <t>만안구 안양2동 34-1번지 일원</t>
  </si>
  <si>
    <t>평균 1984</t>
  </si>
  <si>
    <t>예술공원입구 주변</t>
  </si>
  <si>
    <t>만안구 안양2동 18-1번지 일원</t>
  </si>
  <si>
    <t>덕현지구</t>
  </si>
  <si>
    <t>동안구 호계1동 992번지 일원</t>
  </si>
  <si>
    <t xml:space="preserve"> 1975~2007 </t>
  </si>
  <si>
    <t>임곡3지구</t>
  </si>
  <si>
    <t>동안구 비산1동 515-2번지 일원</t>
  </si>
  <si>
    <t xml:space="preserve"> 1964~2006 </t>
  </si>
  <si>
    <t>호원초등학교 주변</t>
  </si>
  <si>
    <t>동안구 호계1동 956번지 일원</t>
  </si>
  <si>
    <t>소곡지구</t>
  </si>
  <si>
    <t>만안구 안양6동 585-2번지 일원</t>
  </si>
  <si>
    <t xml:space="preserve"> 1971~2004 </t>
  </si>
  <si>
    <t>호계주공아파트주변</t>
  </si>
  <si>
    <t>동안구 호계1동 977번지 일원</t>
  </si>
  <si>
    <t>2019</t>
  </si>
  <si>
    <t>화성시</t>
  </si>
  <si>
    <t>안녕1-1</t>
  </si>
  <si>
    <t>안녕동 46-4번지 일원</t>
  </si>
  <si>
    <t>1970~1990</t>
  </si>
  <si>
    <t>180~230%</t>
  </si>
  <si>
    <t>220~270%</t>
  </si>
  <si>
    <t>향남2-3</t>
  </si>
  <si>
    <t>발안리133-2번지 일원</t>
  </si>
  <si>
    <t>230~500%</t>
  </si>
  <si>
    <t>270~800%</t>
  </si>
  <si>
    <t>진안1-2</t>
  </si>
  <si>
    <t>진안동 524-7번지 일원</t>
  </si>
  <si>
    <t>봉담1-2</t>
  </si>
  <si>
    <t>수영리 649-3번지 일원</t>
  </si>
  <si>
    <t>180~500%</t>
  </si>
  <si>
    <t>220~800%</t>
  </si>
  <si>
    <t>우정2-1</t>
  </si>
  <si>
    <t>조암리 270-38번지 일원</t>
  </si>
  <si>
    <t>매송01</t>
  </si>
  <si>
    <t>어천리 469번지 일원</t>
  </si>
  <si>
    <t>매송02</t>
  </si>
  <si>
    <t>천천리 204-1번지 일원</t>
  </si>
  <si>
    <t>매송03</t>
  </si>
  <si>
    <t>원평리 77-15번지 일원</t>
  </si>
  <si>
    <t>송산01</t>
  </si>
  <si>
    <t>사강리 590번지 일원</t>
  </si>
  <si>
    <t>180~200%</t>
  </si>
  <si>
    <t>220~250%</t>
  </si>
  <si>
    <t>향남01</t>
  </si>
  <si>
    <t>상신리 623번지 일원</t>
  </si>
  <si>
    <t>향남02</t>
  </si>
  <si>
    <t>평리 96-6번지 일원</t>
  </si>
  <si>
    <t>화산01</t>
  </si>
  <si>
    <t>송산동 135-8번지 일원</t>
  </si>
  <si>
    <t>정남09</t>
  </si>
  <si>
    <t>괘랑리 1163-22번지 일원</t>
  </si>
  <si>
    <t>안녕03</t>
  </si>
  <si>
    <t>송산동 142-3번지 일원</t>
  </si>
  <si>
    <t>화남아파트</t>
  </si>
  <si>
    <t>진안동 506번지 일원</t>
  </si>
  <si>
    <t>화산주택</t>
  </si>
  <si>
    <t>송산동 97-15일원</t>
  </si>
  <si>
    <t>평택시</t>
  </si>
  <si>
    <t>통복1</t>
  </si>
  <si>
    <t>통복동 35-3 일원</t>
  </si>
  <si>
    <t>1952~2016</t>
  </si>
  <si>
    <t>독곡1</t>
  </si>
  <si>
    <t>독곡동 464 일원</t>
  </si>
  <si>
    <t>200%/300%</t>
  </si>
  <si>
    <t>지산1</t>
  </si>
  <si>
    <t>지산동 1029 일원</t>
  </si>
  <si>
    <t>지산2</t>
  </si>
  <si>
    <t>지산동 1089 일원</t>
  </si>
  <si>
    <t>지산3</t>
  </si>
  <si>
    <t>지산동 1028 일원</t>
  </si>
  <si>
    <t>지산4</t>
  </si>
  <si>
    <t>지산동 1091 일원</t>
  </si>
  <si>
    <t>지산5</t>
  </si>
  <si>
    <t>지산동 1095 일원</t>
  </si>
  <si>
    <t>서정1</t>
  </si>
  <si>
    <t>서정동 793 일원</t>
  </si>
  <si>
    <t>서정2</t>
  </si>
  <si>
    <t>서정동 794 일원</t>
  </si>
  <si>
    <t>서정3</t>
  </si>
  <si>
    <t>서정동 909-1 일원</t>
  </si>
  <si>
    <t>이충1</t>
  </si>
  <si>
    <t>이충동 478 일원</t>
  </si>
  <si>
    <t>이충2</t>
  </si>
  <si>
    <t>이충동 381 일원</t>
  </si>
  <si>
    <t>250%/300%</t>
  </si>
  <si>
    <t>합정1</t>
  </si>
  <si>
    <t>합정동 829 일원</t>
  </si>
  <si>
    <t>동삭1</t>
  </si>
  <si>
    <t>동삭동 340-6 일원</t>
  </si>
  <si>
    <t>남산1</t>
  </si>
  <si>
    <t>팽성읍 남산리 산76-9 일원</t>
  </si>
  <si>
    <t>180%/250%</t>
  </si>
  <si>
    <t>송탄-01</t>
  </si>
  <si>
    <t>신장동 624-22 일원</t>
  </si>
  <si>
    <t>1967~2016</t>
  </si>
  <si>
    <t>송탄-02</t>
  </si>
  <si>
    <t>신장동 280-46 일원</t>
  </si>
  <si>
    <t>1963~2018</t>
  </si>
  <si>
    <t>송탄-03</t>
  </si>
  <si>
    <t>서정동 570-65 일원</t>
  </si>
  <si>
    <t>1957~2018</t>
  </si>
  <si>
    <t>송탄-04</t>
  </si>
  <si>
    <t>신장동 267-292 일원</t>
  </si>
  <si>
    <t>1966~2016</t>
  </si>
  <si>
    <t>송탄-05</t>
  </si>
  <si>
    <t>서정동 873-29 일원</t>
  </si>
  <si>
    <t>1976~2017</t>
  </si>
  <si>
    <t>송탄-06</t>
  </si>
  <si>
    <t>서정동 893-13 일원</t>
  </si>
  <si>
    <t>1968~2008</t>
  </si>
  <si>
    <t>팽성-01</t>
  </si>
  <si>
    <t>팽성읍 송화리 50-15일원</t>
  </si>
  <si>
    <t>1972~2017</t>
  </si>
  <si>
    <t>평택1</t>
  </si>
  <si>
    <t>평택동 76 일원</t>
  </si>
  <si>
    <t>1952~2000</t>
  </si>
  <si>
    <t>송원.현대연립</t>
  </si>
  <si>
    <t>독곡동 359-5 일원</t>
  </si>
  <si>
    <t>비의무/미수립</t>
  </si>
  <si>
    <t>세교1구역</t>
  </si>
  <si>
    <t>세교동 202-5번지 일원</t>
  </si>
  <si>
    <t xml:space="preserve"> 1962-2005 </t>
  </si>
  <si>
    <t>합정주공</t>
  </si>
  <si>
    <t>합정동 835 일원</t>
  </si>
  <si>
    <t>서정연립</t>
  </si>
  <si>
    <t>서정동 780 일원</t>
  </si>
  <si>
    <t>두정지구</t>
  </si>
  <si>
    <t>팽성읍 두정리 45-2번지 일원</t>
  </si>
  <si>
    <t>비전주공1</t>
  </si>
  <si>
    <t>비전동 488 일원</t>
  </si>
  <si>
    <t>비전주공2</t>
  </si>
  <si>
    <t>비전동 143 일원</t>
  </si>
  <si>
    <t>서정주공1</t>
  </si>
  <si>
    <t>서정동 241</t>
  </si>
  <si>
    <t>서정주공2</t>
  </si>
  <si>
    <t>서정동 13</t>
  </si>
  <si>
    <t>지산지구</t>
  </si>
  <si>
    <t>평택시 지산동 692번지일원</t>
  </si>
  <si>
    <t>1960~1980</t>
  </si>
  <si>
    <t>세교지구</t>
  </si>
  <si>
    <t>평택시 세교동 123번지일원</t>
  </si>
  <si>
    <t>시흥시</t>
  </si>
  <si>
    <t>대야동 삼보</t>
  </si>
  <si>
    <t>대야동 275번지 일원</t>
  </si>
  <si>
    <t>1980~2020</t>
  </si>
  <si>
    <t>신천동 동진</t>
  </si>
  <si>
    <t>신천동 858번지 일원</t>
  </si>
  <si>
    <t>은행2</t>
  </si>
  <si>
    <t>은행동 276-10번지 일원</t>
  </si>
  <si>
    <t>포동1</t>
  </si>
  <si>
    <t>포동 2번지 일원</t>
  </si>
  <si>
    <t>목감1</t>
  </si>
  <si>
    <t>조남동 171-4번지 일원</t>
  </si>
  <si>
    <t>은행동 산호</t>
  </si>
  <si>
    <t>은행동 243-1번지 일원</t>
  </si>
  <si>
    <t>24.12.26</t>
  </si>
  <si>
    <t>은행1</t>
  </si>
  <si>
    <t>은행동 251-6번지 일원</t>
  </si>
  <si>
    <t>목감2</t>
  </si>
  <si>
    <t>목감동 242-9번지 일원</t>
  </si>
  <si>
    <t>거모3</t>
  </si>
  <si>
    <t>거모동 1474-1번지 일원</t>
  </si>
  <si>
    <t>24.05.23</t>
  </si>
  <si>
    <t>대야3(시흥영남2차아파트)</t>
  </si>
  <si>
    <t>대야동 284번지 일원</t>
  </si>
  <si>
    <t>1985~1986</t>
  </si>
  <si>
    <t>복음자리</t>
  </si>
  <si>
    <t>신천동 33번지일대</t>
  </si>
  <si>
    <t>1979~2003</t>
  </si>
  <si>
    <t>50~100%</t>
  </si>
  <si>
    <t>대야동</t>
  </si>
  <si>
    <t>대야동 303번지일대</t>
  </si>
  <si>
    <t>1900~2003</t>
  </si>
  <si>
    <t>김포시</t>
  </si>
  <si>
    <t>양곡마을</t>
  </si>
  <si>
    <t>양촌읍 양곡리 403-4번지 일원</t>
  </si>
  <si>
    <t>서암</t>
  </si>
  <si>
    <t>통진읍 서암리 758-22번지 일원</t>
  </si>
  <si>
    <t>광명시</t>
  </si>
  <si>
    <t>하안주공3·4단지</t>
  </si>
  <si>
    <t>하안동 650번지 일원</t>
  </si>
  <si>
    <t>하안주공5단지</t>
  </si>
  <si>
    <t>하안동 702번지 일원</t>
  </si>
  <si>
    <t>하안주공6·7단지</t>
  </si>
  <si>
    <t>하안동 295번지 일원</t>
  </si>
  <si>
    <t>하안주공9단지</t>
  </si>
  <si>
    <t>하안동 13번지 일원</t>
  </si>
  <si>
    <t>하안주공10·11단지</t>
  </si>
  <si>
    <t>하안동 27번지 일원</t>
  </si>
  <si>
    <t>하안주공12단지</t>
  </si>
  <si>
    <t>하안동 110번지 일원</t>
  </si>
  <si>
    <t>하안주공8단지</t>
  </si>
  <si>
    <t>하안동 260번지 일원</t>
  </si>
  <si>
    <t>철산주공12단지</t>
  </si>
  <si>
    <t>철산동 449번지 일원</t>
  </si>
  <si>
    <t>철산주공13단지</t>
  </si>
  <si>
    <t>철산동 241번지 일원</t>
  </si>
  <si>
    <t>하안주공1·2단지</t>
  </si>
  <si>
    <t>하안동 681번지 일원</t>
  </si>
  <si>
    <t>철산주공10,11단지</t>
  </si>
  <si>
    <t>철산2동 105</t>
  </si>
  <si>
    <t>철산주공8,9단지</t>
  </si>
  <si>
    <t>철산2동 235</t>
  </si>
  <si>
    <t>철산두산위브아파트</t>
  </si>
  <si>
    <t>철산동 50번지 일대</t>
  </si>
  <si>
    <t>2003</t>
  </si>
  <si>
    <t>광육재건축단지</t>
  </si>
  <si>
    <t>광명6동 354-24</t>
  </si>
  <si>
    <t>광명5동(월드메르디앙아파트)</t>
  </si>
  <si>
    <t>광명동 776-49</t>
  </si>
  <si>
    <t>철산주공2단지아파트</t>
  </si>
  <si>
    <t>철산동 373</t>
  </si>
  <si>
    <t>철산주공3단지아파트</t>
  </si>
  <si>
    <t>철산동 552</t>
  </si>
  <si>
    <t>하안주공본1단지아파트</t>
  </si>
  <si>
    <t>하안동 764</t>
  </si>
  <si>
    <t>하안주공본2단지아파트</t>
  </si>
  <si>
    <t>하안동 769</t>
  </si>
  <si>
    <t>광명철산</t>
  </si>
  <si>
    <t>철산동 510</t>
  </si>
  <si>
    <t>광명삼각주</t>
  </si>
  <si>
    <t>철산동 606</t>
  </si>
  <si>
    <t>광명신촌마을</t>
  </si>
  <si>
    <t>소하동 4-1 일원</t>
  </si>
  <si>
    <t>철산주공7단지</t>
  </si>
  <si>
    <t>철산3동 233</t>
  </si>
  <si>
    <t>철산주공4단지</t>
  </si>
  <si>
    <t>철산3동 452</t>
  </si>
  <si>
    <t>군포시</t>
  </si>
  <si>
    <t>산본1동3구역</t>
  </si>
  <si>
    <t>산본동 55번지 일원</t>
  </si>
  <si>
    <t>1981~2022</t>
  </si>
  <si>
    <t>지정개발자(신탁)</t>
  </si>
  <si>
    <t>금정역 남측구역</t>
  </si>
  <si>
    <t>금정동80-1번지 일원</t>
  </si>
  <si>
    <t>1983~2022</t>
  </si>
  <si>
    <t>26.03.12</t>
  </si>
  <si>
    <t>군포2구역</t>
  </si>
  <si>
    <t>군포시 당동 768번지 일원</t>
  </si>
  <si>
    <t>1978~2019</t>
  </si>
  <si>
    <t>금정4구역</t>
  </si>
  <si>
    <t>군포시 금정동 754번지 일원</t>
  </si>
  <si>
    <t>1983~2021</t>
  </si>
  <si>
    <t>GTX금정역 역세권1구역</t>
  </si>
  <si>
    <t>군포시 산본동 75번지 일원</t>
  </si>
  <si>
    <t>1973~2022</t>
  </si>
  <si>
    <t>금정2구역</t>
  </si>
  <si>
    <t>군포시 금정동 762-11번지 일원</t>
  </si>
  <si>
    <t>1976~2022</t>
  </si>
  <si>
    <t>금정역세권1구역</t>
  </si>
  <si>
    <t>군포시 금정동 727번지 일원</t>
  </si>
  <si>
    <t>1959~2024</t>
  </si>
  <si>
    <t>금정역 역세권</t>
  </si>
  <si>
    <t>군포시 산본동 1028번지 일원</t>
  </si>
  <si>
    <t>1985~2018</t>
  </si>
  <si>
    <t>산본1동1지구</t>
  </si>
  <si>
    <t>군포시 산본동 79-8번지 일원</t>
  </si>
  <si>
    <t>1967~2020</t>
  </si>
  <si>
    <t>금정역 산본1동2지구</t>
  </si>
  <si>
    <t>군포시 산본동 227-7번지 일원</t>
  </si>
  <si>
    <t>1985~2016</t>
  </si>
  <si>
    <t>군포1구역</t>
  </si>
  <si>
    <t>군포시 당동 731번지 일원</t>
  </si>
  <si>
    <t>1967~2022</t>
  </si>
  <si>
    <t>군포3구역</t>
  </si>
  <si>
    <t>군포시 당동 738번지 일원</t>
  </si>
  <si>
    <t>금정3구역</t>
  </si>
  <si>
    <t>군포시 금정동 766번지 일원</t>
  </si>
  <si>
    <t>군포10구역</t>
  </si>
  <si>
    <t>당동 781번지 일원</t>
  </si>
  <si>
    <t>1975~2004</t>
  </si>
  <si>
    <t>산본주공아파트</t>
  </si>
  <si>
    <t>군포시 산본동 208외 5</t>
  </si>
  <si>
    <t>오산시</t>
  </si>
  <si>
    <t>가수주공</t>
  </si>
  <si>
    <t>가수동 113번지 일원</t>
  </si>
  <si>
    <t>궐동</t>
  </si>
  <si>
    <t>오산시 궐동 36-9 일원</t>
  </si>
  <si>
    <t>1955~2020</t>
  </si>
  <si>
    <t>오산시 원동 299-8번지 일원</t>
  </si>
  <si>
    <t>229%/437%</t>
  </si>
  <si>
    <t>오산경일신안</t>
  </si>
  <si>
    <t>원동 785-1번지 일원</t>
  </si>
  <si>
    <t>오매장터</t>
  </si>
  <si>
    <t>오산동 354-4번지 일원</t>
  </si>
  <si>
    <t>1945~2015</t>
  </si>
  <si>
    <t>180%/800%</t>
  </si>
  <si>
    <t>이천시</t>
  </si>
  <si>
    <t>이천관고동</t>
  </si>
  <si>
    <t>관고동 226번지 일원</t>
  </si>
  <si>
    <t>안성시</t>
  </si>
  <si>
    <t>의왕시</t>
  </si>
  <si>
    <t>신안아파트</t>
  </si>
  <si>
    <t>오전동 216-1번지 일원</t>
  </si>
  <si>
    <t>인덕원삼호아파트</t>
  </si>
  <si>
    <t>포일동 441-2번지 일원</t>
  </si>
  <si>
    <t>1991~1993</t>
  </si>
  <si>
    <t>백합목련아파트</t>
  </si>
  <si>
    <t>오전동 842번지 일원</t>
  </si>
  <si>
    <t>199.56~203.5%</t>
  </si>
  <si>
    <t>인스빌아파트</t>
  </si>
  <si>
    <t>왕곡동 592번지 일원</t>
  </si>
  <si>
    <t>202.16~202.25%</t>
  </si>
  <si>
    <t>왕곡지역(솔거, 원효, 쌍용충무, 신안포은)</t>
  </si>
  <si>
    <t>왕곡동 600번지 일원</t>
  </si>
  <si>
    <t>196.15~218%</t>
  </si>
  <si>
    <t>동백아파트</t>
  </si>
  <si>
    <t>오전동 849 일원</t>
  </si>
  <si>
    <t>무궁화아파트</t>
  </si>
  <si>
    <t>오전동 854 일원</t>
  </si>
  <si>
    <t>장미아파트</t>
  </si>
  <si>
    <t>삼동 462-32번지 일원</t>
  </si>
  <si>
    <t>오전라구역</t>
  </si>
  <si>
    <t>오전동 323-3번지 일원</t>
  </si>
  <si>
    <t xml:space="preserve"> 1977~2006 </t>
  </si>
  <si>
    <t>부곡다구역</t>
  </si>
  <si>
    <t>삼동 146번지일원</t>
  </si>
  <si>
    <t>1977~2004</t>
  </si>
  <si>
    <t>오전다구역</t>
  </si>
  <si>
    <t>오전동 350-1번지일원</t>
  </si>
  <si>
    <t xml:space="preserve"> 1980~2003 </t>
  </si>
  <si>
    <t>고천가구역</t>
  </si>
  <si>
    <t>고천동 276-8번지일원</t>
  </si>
  <si>
    <t xml:space="preserve"> 1950~2007 </t>
  </si>
  <si>
    <t>부곡가구역</t>
  </si>
  <si>
    <t>삼동 192-244번지일원</t>
  </si>
  <si>
    <t xml:space="preserve"> 1970~1985 </t>
  </si>
  <si>
    <t>고천나구역</t>
  </si>
  <si>
    <t>고천동 265번지 일원</t>
  </si>
  <si>
    <t xml:space="preserve"> 1970~1990 </t>
  </si>
  <si>
    <t>내손라구역</t>
  </si>
  <si>
    <t>내손동 661번지일원</t>
  </si>
  <si>
    <t xml:space="preserve"> 1984~1993 </t>
  </si>
  <si>
    <t>내손다구역</t>
  </si>
  <si>
    <t>내손동 683번지일원</t>
  </si>
  <si>
    <t>오전나구역</t>
  </si>
  <si>
    <t>오전동 32-5번지일원</t>
  </si>
  <si>
    <t xml:space="preserve"> 1980~1990 </t>
  </si>
  <si>
    <t>오전가구역</t>
  </si>
  <si>
    <t>오전동 52번지일원</t>
  </si>
  <si>
    <t>1979~1985</t>
  </si>
  <si>
    <t>오전마구역</t>
  </si>
  <si>
    <t>오전동 324-4번지일원</t>
  </si>
  <si>
    <t xml:space="preserve"> 1974~2000 </t>
  </si>
  <si>
    <t>청화아파트</t>
  </si>
  <si>
    <t>포일동 643번지
(구번지:540번지)</t>
  </si>
  <si>
    <t>포일주공아파트</t>
  </si>
  <si>
    <t>내손동 844번지 일원
(구번지:623번지일원)</t>
  </si>
  <si>
    <t>의왕내손주택</t>
  </si>
  <si>
    <t>내손동 842번지
(구번지:630번지일원)</t>
  </si>
  <si>
    <t>대우사원주택</t>
  </si>
  <si>
    <t>내손동 627번지일원</t>
  </si>
  <si>
    <t>하남시</t>
  </si>
  <si>
    <t>하남시청역일원</t>
  </si>
  <si>
    <t>신장동 446-18번지 일원</t>
  </si>
  <si>
    <t>C구역</t>
  </si>
  <si>
    <t>덕풍동 285-31번지 일대</t>
  </si>
  <si>
    <t>과천시</t>
  </si>
  <si>
    <t>주공8,9단지구역</t>
  </si>
  <si>
    <t>부림동 41번지 일원</t>
  </si>
  <si>
    <t>과천주공5단지</t>
  </si>
  <si>
    <t>별양동 6번지 일원</t>
  </si>
  <si>
    <t>중앙동 67번지 일원</t>
  </si>
  <si>
    <t>주암장군마을</t>
  </si>
  <si>
    <t>주암동 63-9번지 일원</t>
  </si>
  <si>
    <t>1980-2009</t>
  </si>
  <si>
    <t>주공4단지구역</t>
  </si>
  <si>
    <t>별양동 7번지 일원</t>
  </si>
  <si>
    <t>별양동 52번지 일원</t>
  </si>
  <si>
    <t>주공2단지</t>
  </si>
  <si>
    <t>원문동 2, 별양동 8번지 일원</t>
  </si>
  <si>
    <t>주공1단지</t>
  </si>
  <si>
    <t>중앙동 37번지 일원</t>
  </si>
  <si>
    <t>주공7-1단지</t>
  </si>
  <si>
    <t>부림동 49번지 일원</t>
  </si>
  <si>
    <t>주공12단지</t>
  </si>
  <si>
    <t>갈현동 369 일원</t>
  </si>
  <si>
    <t>주공7-2단지</t>
  </si>
  <si>
    <t>별양동 3번지 일원</t>
  </si>
  <si>
    <t>남양주시</t>
  </si>
  <si>
    <t>금곡6</t>
  </si>
  <si>
    <t>금곡동 162-42일원</t>
  </si>
  <si>
    <t>1978~2004</t>
  </si>
  <si>
    <t>금곡7</t>
  </si>
  <si>
    <t>금곡동 158-7일원</t>
  </si>
  <si>
    <t>1981~2014</t>
  </si>
  <si>
    <t>퇴계원5</t>
  </si>
  <si>
    <t>퇴계원읍 퇴계원리 272일원</t>
  </si>
  <si>
    <t>1986~2010</t>
  </si>
  <si>
    <t>오남1</t>
  </si>
  <si>
    <t>오남읍 오남리 683-5 일원</t>
  </si>
  <si>
    <t>퇴계원1</t>
  </si>
  <si>
    <t>퇴계원읍 퇴계원리 261-16일원</t>
  </si>
  <si>
    <t>퇴계원4</t>
  </si>
  <si>
    <t>퇴계원읍 퇴계원리 82-13일원</t>
  </si>
  <si>
    <t>1980~2014</t>
  </si>
  <si>
    <t>퇴계원7</t>
  </si>
  <si>
    <t>퇴계원읍 퇴계원리 329-69일원</t>
  </si>
  <si>
    <t>1988~1995</t>
  </si>
  <si>
    <t>퇴계원2</t>
  </si>
  <si>
    <t>퇴계원읍 퇴계원리 109-8일원</t>
  </si>
  <si>
    <t>1984~2015</t>
  </si>
  <si>
    <t>금곡2
(서울아파트)</t>
  </si>
  <si>
    <t>금곡동 159-59 일원</t>
  </si>
  <si>
    <t>평내1(진주아파트)</t>
  </si>
  <si>
    <t>평내동 산84-11일원</t>
  </si>
  <si>
    <t>1985~1987</t>
  </si>
  <si>
    <t>평내2구역</t>
  </si>
  <si>
    <t>평내동 103-2일원</t>
  </si>
  <si>
    <t>1986~1989</t>
  </si>
  <si>
    <t>남광,신우</t>
  </si>
  <si>
    <t>도농동 2-5 일원</t>
  </si>
  <si>
    <t>지금2지구</t>
  </si>
  <si>
    <t>지금동 129-65 일원</t>
  </si>
  <si>
    <t>1960~1998</t>
  </si>
  <si>
    <t>도농3개통</t>
  </si>
  <si>
    <t>도농동 294 일원</t>
  </si>
  <si>
    <t>1952~2003</t>
  </si>
  <si>
    <t>의정부시</t>
  </si>
  <si>
    <t>가능11구역</t>
  </si>
  <si>
    <t>가능동 355-3번지 일원</t>
  </si>
  <si>
    <t>1980~1990</t>
  </si>
  <si>
    <t>계획수립 예정</t>
  </si>
  <si>
    <t>중앙1구역</t>
  </si>
  <si>
    <t>의정부동 365-22번지 일원</t>
  </si>
  <si>
    <t>가능중앙구역</t>
  </si>
  <si>
    <t>가능동 619번지 일원</t>
  </si>
  <si>
    <t>장암2구역</t>
  </si>
  <si>
    <t>신곡동 602-13번지 일원</t>
  </si>
  <si>
    <t>가능8구역</t>
  </si>
  <si>
    <t>25-09-26</t>
  </si>
  <si>
    <t>가능6구역</t>
  </si>
  <si>
    <t>가능동 665-7번지 일원</t>
  </si>
  <si>
    <t>가재울구역</t>
  </si>
  <si>
    <t>가능동 28-3번지 일원</t>
  </si>
  <si>
    <t>가능3구역</t>
  </si>
  <si>
    <t>가능동 681-2번지 일원</t>
  </si>
  <si>
    <t>가능4구역</t>
  </si>
  <si>
    <t>가능동 606-18번지 일원</t>
  </si>
  <si>
    <t>의정부9구역</t>
  </si>
  <si>
    <t>의정부동 404-13번지 일원</t>
  </si>
  <si>
    <t>호원2구역</t>
  </si>
  <si>
    <t>호원동 250-17번지 일원</t>
  </si>
  <si>
    <t>장암6구역</t>
  </si>
  <si>
    <t>신곡동 351-12번지 일원</t>
  </si>
  <si>
    <t>의정부역2구역</t>
  </si>
  <si>
    <t>의정부동 584-9번지 일원</t>
  </si>
  <si>
    <t>장암5구역</t>
  </si>
  <si>
    <t>신곡동 406번지 일원</t>
  </si>
  <si>
    <t>1980~2010</t>
  </si>
  <si>
    <t>장암3구역</t>
  </si>
  <si>
    <t>신곡동 435-3번지 일원</t>
  </si>
  <si>
    <t>1973~2004</t>
  </si>
  <si>
    <t>금오1구역</t>
  </si>
  <si>
    <t>금오동 65-3번지 일원</t>
  </si>
  <si>
    <t>1951~2001</t>
  </si>
  <si>
    <t>장암1구역</t>
  </si>
  <si>
    <t>신곡동 571-1번지 일원</t>
  </si>
  <si>
    <t>중앙3구역</t>
  </si>
  <si>
    <t>의정부동 394-11번지 일원</t>
  </si>
  <si>
    <t>1993~2003</t>
  </si>
  <si>
    <t>가능1구역</t>
  </si>
  <si>
    <t>가능동 581-1번지 일원</t>
  </si>
  <si>
    <t>1958~2005</t>
  </si>
  <si>
    <t>안말2
(호원3구역)</t>
  </si>
  <si>
    <t>호원동 252번지 일원</t>
  </si>
  <si>
    <t>1951~2004</t>
  </si>
  <si>
    <t xml:space="preserve">市 </t>
  </si>
  <si>
    <t>중앙2구역</t>
  </si>
  <si>
    <t>의정부동 380번지 일원</t>
  </si>
  <si>
    <t>1975~2005</t>
  </si>
  <si>
    <t>가능2구역</t>
  </si>
  <si>
    <t>가능동 224-24번지 일원</t>
  </si>
  <si>
    <t>1958~2004</t>
  </si>
  <si>
    <t>장암4구역</t>
  </si>
  <si>
    <t>장암동 34-1번지 일원</t>
  </si>
  <si>
    <t>송산1구역</t>
  </si>
  <si>
    <t>용현동 241번지 일원</t>
  </si>
  <si>
    <t>호원권역3구역</t>
  </si>
  <si>
    <t>의정부동 576-2번지 일원</t>
  </si>
  <si>
    <t>호원권역4구역</t>
  </si>
  <si>
    <t>호원동 316-31번지 일원</t>
  </si>
  <si>
    <t>신곡권역2구역</t>
  </si>
  <si>
    <t>금오동 283-3번지 일원</t>
  </si>
  <si>
    <t>경기도 의정부시 녹양동 80번지</t>
  </si>
  <si>
    <t>동두천시</t>
  </si>
  <si>
    <t>생연동 국민주택</t>
  </si>
  <si>
    <t>동두천시 생연동 704번지 일원</t>
  </si>
  <si>
    <t>생연동 주공생연아파트</t>
  </si>
  <si>
    <t>생연동 284번지 일원</t>
  </si>
  <si>
    <t>고양시</t>
  </si>
  <si>
    <t>관산Ⅱ-1구역</t>
  </si>
  <si>
    <t>덕양구 관산동 178-57번지 일원</t>
  </si>
  <si>
    <t>1980~1992</t>
  </si>
  <si>
    <t>행신Ⅰ-1구역</t>
  </si>
  <si>
    <t>덕양구 행신동 222번지 일원</t>
  </si>
  <si>
    <t>1980~2012</t>
  </si>
  <si>
    <t>일산Ⅰ-2구역</t>
  </si>
  <si>
    <t>일산동 960-16번지 일원</t>
  </si>
  <si>
    <t>1940~2001</t>
  </si>
  <si>
    <t>고양 Ⅰ-1구역</t>
  </si>
  <si>
    <t>덕양구 고양동 22-2번지 일원(제일복지회관 주변)</t>
  </si>
  <si>
    <t>1970~2004</t>
  </si>
  <si>
    <t>고양Ⅰ-2구역</t>
  </si>
  <si>
    <t>덕양구 고양동 92-1번지 일원(한양연립 주변)</t>
  </si>
  <si>
    <t>1980~1995</t>
  </si>
  <si>
    <t>행신 Ⅱ-1구역</t>
  </si>
  <si>
    <t>행신동 173-1번지일원(행신지구 재건축 주변)</t>
  </si>
  <si>
    <t>1980~2003</t>
  </si>
  <si>
    <t>능곡 2-1
(능곡연합)</t>
  </si>
  <si>
    <t>덕양구 토당동 251-12번지 일원</t>
  </si>
  <si>
    <t>일산Ⅱ-1구역(탄현주공)</t>
  </si>
  <si>
    <t>탄현동 28번지 일원</t>
  </si>
  <si>
    <t>관산1차</t>
  </si>
  <si>
    <t>관산동 178-52번지 일원</t>
  </si>
  <si>
    <t>원당주공2단지</t>
  </si>
  <si>
    <t>성사동 715번지</t>
  </si>
  <si>
    <t>주교성사1단지</t>
  </si>
  <si>
    <t>덕양구 성사동 869</t>
  </si>
  <si>
    <t>구리시</t>
  </si>
  <si>
    <t>딸기원2지구</t>
  </si>
  <si>
    <t>교문동 339일원</t>
  </si>
  <si>
    <t>1952/2009</t>
  </si>
  <si>
    <t>수택동 재개발</t>
  </si>
  <si>
    <t>수택동 454-9번지 일원</t>
  </si>
  <si>
    <t>1952~2020</t>
  </si>
  <si>
    <t>한성1차아파트</t>
  </si>
  <si>
    <t>교문동 766-1번지 일원</t>
  </si>
  <si>
    <t>인창주택</t>
  </si>
  <si>
    <t>인창동320-2 일원</t>
  </si>
  <si>
    <t>1957~2004</t>
  </si>
  <si>
    <t>수택1지구</t>
  </si>
  <si>
    <t>수택동532번지일원</t>
  </si>
  <si>
    <t>수택지구</t>
  </si>
  <si>
    <t>수택동556번지 일원</t>
  </si>
  <si>
    <t>파주시</t>
  </si>
  <si>
    <t>문산1-5</t>
  </si>
  <si>
    <t>문산읍 문산리 31-1번지일원</t>
  </si>
  <si>
    <t>새말지구</t>
  </si>
  <si>
    <t>금촌동390-36</t>
  </si>
  <si>
    <t>금촌율목지구</t>
  </si>
  <si>
    <t>금촌동341</t>
  </si>
  <si>
    <t>조합250%
뉴스테이 300%</t>
  </si>
  <si>
    <t>문산3리지구</t>
  </si>
  <si>
    <t>문산읍 문산리81-61 일원</t>
  </si>
  <si>
    <t>25.05.12</t>
  </si>
  <si>
    <t>금촌2동제2지구</t>
  </si>
  <si>
    <t>금촌동 337-15</t>
  </si>
  <si>
    <t>26.02.26</t>
  </si>
  <si>
    <t>협신연립</t>
  </si>
  <si>
    <t>아동동 275-13</t>
  </si>
  <si>
    <t>본계획 미반영</t>
  </si>
  <si>
    <t>초원연립</t>
  </si>
  <si>
    <t>문산읍 당동리 산38-1, 산38-8</t>
  </si>
  <si>
    <t>2026년 2/4분기 일반 정비사업 추진현황 총괄표</t>
  </si>
  <si>
    <t>시․군</t>
  </si>
  <si>
    <t>전   체</t>
  </si>
  <si>
    <t>주거환경관리</t>
  </si>
  <si>
    <t>도시환경</t>
  </si>
  <si>
    <t>재개발, 재건축</t>
  </si>
  <si>
    <t>합 계</t>
  </si>
  <si>
    <t>정비
예정구역</t>
  </si>
  <si>
    <t>추진 현황</t>
  </si>
  <si>
    <t>소계</t>
  </si>
  <si>
    <t>앙주시</t>
  </si>
  <si>
    <t>* ■ 기본계획 의무대상 50만 이상 市(시)  /  ■ 기본계획 임의대상 50만 미만 市(시)</t>
  </si>
  <si>
    <t>구분</t>
  </si>
  <si>
    <t>예정</t>
  </si>
  <si>
    <t>지정</t>
  </si>
  <si>
    <t>추진</t>
  </si>
  <si>
    <t>사업</t>
  </si>
  <si>
    <t>처분</t>
  </si>
  <si>
    <t>기본계획○</t>
  </si>
  <si>
    <t>기본계획×</t>
  </si>
  <si>
    <t xml:space="preserve">제외: </t>
  </si>
  <si>
    <t>광주, 양평, 여주, 포천, 연천, 가평</t>
  </si>
  <si>
    <t>양주시</t>
  </si>
  <si>
    <t>2013년</t>
  </si>
  <si>
    <t>2014년</t>
  </si>
  <si>
    <t>2015년</t>
  </si>
  <si>
    <t>2016년</t>
  </si>
  <si>
    <t>2017년</t>
  </si>
  <si>
    <t>2018년</t>
  </si>
  <si>
    <t>년도</t>
  </si>
  <si>
    <t>인수자 및 임대주택수(호)</t>
  </si>
  <si>
    <t>유형</t>
  </si>
  <si>
    <t>한국토지주택공사</t>
  </si>
  <si>
    <t>경기도시공사</t>
  </si>
  <si>
    <t>시·군</t>
  </si>
  <si>
    <t>예술공원입구주변지구</t>
  </si>
  <si>
    <t>11R</t>
  </si>
  <si>
    <t>4R</t>
  </si>
  <si>
    <t>의정부</t>
  </si>
  <si>
    <t>가능생활권2</t>
  </si>
  <si>
    <t>113-6(권선)</t>
  </si>
  <si>
    <t>115-10(팔달)</t>
  </si>
  <si>
    <t>중동 1-1</t>
  </si>
  <si>
    <t>계수·범박</t>
  </si>
  <si>
    <t>10R</t>
  </si>
  <si>
    <t>5R</t>
  </si>
  <si>
    <t>인창동</t>
  </si>
  <si>
    <t>평내2</t>
  </si>
  <si>
    <t>115-8(팔달8)</t>
  </si>
  <si>
    <t>115-9(팔달10)</t>
  </si>
  <si>
    <t>115-6(장안)</t>
  </si>
  <si>
    <t>호계3동구사거리</t>
  </si>
  <si>
    <t>호원초교주변</t>
  </si>
  <si>
    <t>1R</t>
  </si>
  <si>
    <t>2R</t>
  </si>
  <si>
    <t>14R</t>
  </si>
  <si>
    <t>수택42통</t>
  </si>
  <si>
    <t>16R</t>
  </si>
  <si>
    <t>15R</t>
  </si>
  <si>
    <t>호계주공아파트주변지구</t>
  </si>
  <si>
    <t>덕천지구</t>
  </si>
  <si>
    <t>오전가</t>
  </si>
  <si>
    <t>장암생활권1</t>
  </si>
  <si>
    <t>중앙생활권3</t>
  </si>
  <si>
    <t>인구50만</t>
  </si>
  <si>
    <t>소 계</t>
  </si>
  <si>
    <t>이상 市</t>
  </si>
  <si>
    <t>‘12.09.26.</t>
  </si>
  <si>
    <t>(`17.05.04)</t>
  </si>
  <si>
    <t>‘12.01.30.</t>
  </si>
  <si>
    <t>(`17.03.29)</t>
  </si>
  <si>
    <t>‘11.01.25.</t>
  </si>
  <si>
    <t>(`16.12.28)</t>
  </si>
  <si>
    <t>‘13.04.25.</t>
  </si>
  <si>
    <t>(‘17.12.13.)</t>
  </si>
  <si>
    <t>‘10.05.27</t>
  </si>
  <si>
    <t>(‘14.10.21)</t>
  </si>
  <si>
    <t>‘14.06.17.</t>
  </si>
  <si>
    <t>‘14.01.06.</t>
  </si>
  <si>
    <t>‘10.12.30.</t>
  </si>
  <si>
    <t>(‘16.11.24.)</t>
  </si>
  <si>
    <t>미만 市</t>
  </si>
  <si>
    <t>`11.03.15</t>
  </si>
  <si>
    <t>(‘15.05.04)</t>
  </si>
  <si>
    <t>`08.04.24</t>
  </si>
  <si>
    <t>(`16.06.03.)</t>
  </si>
  <si>
    <t>‘13.03.18.</t>
  </si>
  <si>
    <t>‘10.04.30.</t>
  </si>
  <si>
    <t>‘12.07.31.</t>
  </si>
  <si>
    <t>‘13.05.10.</t>
  </si>
  <si>
    <t>‘11.05.20.</t>
  </si>
  <si>
    <t>(市)</t>
  </si>
  <si>
    <t>조합</t>
    <phoneticPr fontId="30" type="noConversion"/>
  </si>
  <si>
    <t>주공10단지구역</t>
    <phoneticPr fontId="30" type="noConversion"/>
  </si>
  <si>
    <t>조합</t>
    <phoneticPr fontId="3" type="noConversion"/>
  </si>
  <si>
    <t>청산</t>
    <phoneticPr fontId="3" type="noConversion"/>
  </si>
  <si>
    <t>수원시</t>
    <phoneticPr fontId="3" type="noConversion"/>
  </si>
  <si>
    <t>재개발</t>
    <phoneticPr fontId="3" type="noConversion"/>
  </si>
  <si>
    <t>파장1구역(삼익아파트)</t>
    <phoneticPr fontId="30" type="noConversion"/>
  </si>
  <si>
    <t>재건축</t>
    <phoneticPr fontId="3" type="noConversion"/>
  </si>
  <si>
    <t>영통구 매탄동 1217-7일원</t>
    <phoneticPr fontId="3" type="noConversion"/>
  </si>
  <si>
    <t>조원1구역</t>
    <phoneticPr fontId="3" type="noConversion"/>
  </si>
  <si>
    <t>장안구 조원동 510일원</t>
    <phoneticPr fontId="3" type="noConversion"/>
  </si>
  <si>
    <t>재건축</t>
    <phoneticPr fontId="30" type="noConversion"/>
  </si>
  <si>
    <t>원천2구역(성일아파트)</t>
    <phoneticPr fontId="30" type="noConversion"/>
  </si>
  <si>
    <t>영통구 매탄동 1199 일원</t>
    <phoneticPr fontId="30" type="noConversion"/>
  </si>
  <si>
    <t>수원시</t>
    <phoneticPr fontId="30" type="noConversion"/>
  </si>
  <si>
    <t>추진위원회</t>
    <phoneticPr fontId="30" type="noConversion"/>
  </si>
  <si>
    <t>영통구 매탄동 197 일원</t>
    <phoneticPr fontId="30" type="noConversion"/>
  </si>
  <si>
    <t>권선3구역(삼성아파트)</t>
    <phoneticPr fontId="30" type="noConversion"/>
  </si>
  <si>
    <t>권선구 권선동 1185-1 일원</t>
    <phoneticPr fontId="30" type="noConversion"/>
  </si>
  <si>
    <t>호매실가구역</t>
    <phoneticPr fontId="3" type="noConversion"/>
  </si>
  <si>
    <t>권선구 호매실동 405-1번지 일원</t>
    <phoneticPr fontId="3" type="noConversion"/>
  </si>
  <si>
    <t>조원가구역</t>
    <phoneticPr fontId="30" type="noConversion"/>
  </si>
  <si>
    <t>장안구 조원동 741번지 일원</t>
    <phoneticPr fontId="30" type="noConversion"/>
  </si>
  <si>
    <t/>
  </si>
  <si>
    <t>연무가구역</t>
    <phoneticPr fontId="30" type="noConversion"/>
  </si>
  <si>
    <t>장안구 연무동 61번지 일원</t>
    <phoneticPr fontId="30" type="noConversion"/>
  </si>
  <si>
    <t>정자가구역</t>
    <phoneticPr fontId="30" type="noConversion"/>
  </si>
  <si>
    <t>장안구 정자동 328번지 일원</t>
    <phoneticPr fontId="30" type="noConversion"/>
  </si>
  <si>
    <t>지동가구역</t>
    <phoneticPr fontId="30" type="noConversion"/>
  </si>
  <si>
    <t>팔달구 지동 110-15번지 일원</t>
    <phoneticPr fontId="30" type="noConversion"/>
  </si>
  <si>
    <t>세류가구역</t>
    <phoneticPr fontId="30" type="noConversion"/>
  </si>
  <si>
    <t>권선구 세류동 97번지 일원</t>
    <phoneticPr fontId="30" type="noConversion"/>
  </si>
  <si>
    <t>송죽가구역</t>
    <phoneticPr fontId="30" type="noConversion"/>
  </si>
  <si>
    <t>장안구 송죽동 462번지 일원</t>
    <phoneticPr fontId="30" type="noConversion"/>
  </si>
  <si>
    <t>송죽나구역</t>
    <phoneticPr fontId="30" type="noConversion"/>
  </si>
  <si>
    <t>장안구 송죽동 351번지 일원</t>
    <phoneticPr fontId="30" type="noConversion"/>
  </si>
  <si>
    <t>송죽다구역</t>
    <phoneticPr fontId="30" type="noConversion"/>
  </si>
  <si>
    <t>장안구 송죽동 277-64번지 일원</t>
    <phoneticPr fontId="30" type="noConversion"/>
  </si>
  <si>
    <t>매탄가구역</t>
    <phoneticPr fontId="30" type="noConversion"/>
  </si>
  <si>
    <t>영통구 매탄동 130-50번지 일원</t>
    <phoneticPr fontId="30" type="noConversion"/>
  </si>
  <si>
    <t>매탄나구역</t>
    <phoneticPr fontId="30" type="noConversion"/>
  </si>
  <si>
    <t>영통구 매탄동 196-80번지 일원</t>
    <phoneticPr fontId="30" type="noConversion"/>
  </si>
  <si>
    <t>구운1(구운삼환아파트)</t>
    <phoneticPr fontId="3" type="noConversion"/>
  </si>
  <si>
    <t>사업시행</t>
    <phoneticPr fontId="3" type="noConversion"/>
  </si>
  <si>
    <t>권선2구역(성일아파트)</t>
    <phoneticPr fontId="3" type="noConversion"/>
  </si>
  <si>
    <t>팔달1구역(현대아파트)</t>
    <phoneticPr fontId="3" type="noConversion"/>
  </si>
  <si>
    <t>권선 1구역(동남아파트)</t>
    <phoneticPr fontId="3" type="noConversion"/>
  </si>
  <si>
    <t>영통1구역</t>
    <phoneticPr fontId="3" type="noConversion"/>
  </si>
  <si>
    <t>영통2구역(매탄주공4,5단지)</t>
    <phoneticPr fontId="3" type="noConversion"/>
  </si>
  <si>
    <t>115-12구역</t>
    <phoneticPr fontId="3" type="noConversion"/>
  </si>
  <si>
    <t>115-3</t>
    <phoneticPr fontId="3" type="noConversion"/>
  </si>
  <si>
    <t>고등동 94-1일원</t>
    <phoneticPr fontId="3" type="noConversion"/>
  </si>
  <si>
    <t>111-3</t>
    <phoneticPr fontId="3" type="noConversion"/>
  </si>
  <si>
    <t>권선113-6구역</t>
    <phoneticPr fontId="30" type="noConversion"/>
  </si>
  <si>
    <t>권선구 세류동 817-72일원</t>
    <phoneticPr fontId="3" type="noConversion"/>
  </si>
  <si>
    <t>주거환경개선</t>
    <phoneticPr fontId="3" type="noConversion"/>
  </si>
  <si>
    <t>113-7구역(평동지구)</t>
    <phoneticPr fontId="30" type="noConversion"/>
  </si>
  <si>
    <t>옥산주공 아파트</t>
    <phoneticPr fontId="3" type="noConversion"/>
  </si>
  <si>
    <t>옥산동 10번지 일원</t>
    <phoneticPr fontId="3" type="noConversion"/>
  </si>
  <si>
    <t>금산주공 아파트</t>
    <phoneticPr fontId="3" type="noConversion"/>
  </si>
  <si>
    <t>금산동 100번지 일원</t>
    <phoneticPr fontId="3" type="noConversion"/>
  </si>
  <si>
    <t>아양주공 1단지 아파트</t>
    <phoneticPr fontId="3" type="noConversion"/>
  </si>
  <si>
    <t>아양동 300번지 일원</t>
    <phoneticPr fontId="3" type="noConversion"/>
  </si>
  <si>
    <t>녹양현대아파트</t>
    <phoneticPr fontId="2" type="noConversion"/>
  </si>
  <si>
    <t>매탄4구역(매탄동남빌라)</t>
    <phoneticPr fontId="30" type="noConversion"/>
  </si>
  <si>
    <t>매탄2구역(삼성3차아파트)</t>
    <phoneticPr fontId="3" type="noConversion"/>
  </si>
  <si>
    <t>오산원동주공아파트</t>
    <phoneticPr fontId="2" type="noConversion"/>
  </si>
  <si>
    <t>장안111-4</t>
    <phoneticPr fontId="2" type="noConversion"/>
  </si>
  <si>
    <t>111-1구역(정자지구)</t>
  </si>
  <si>
    <t>중2구역 도시환경정비사업</t>
  </si>
  <si>
    <t>031-5191-3397</t>
  </si>
  <si>
    <t>031-5191-3429</t>
  </si>
  <si>
    <t>031-5191-3414</t>
  </si>
  <si>
    <t>031-5191-3499</t>
  </si>
  <si>
    <t>031-5191-3425</t>
  </si>
  <si>
    <t>031-5191-2417</t>
  </si>
  <si>
    <t>031-5191-3483</t>
  </si>
  <si>
    <t>031-5191-3637</t>
  </si>
  <si>
    <t>031-228-3499</t>
  </si>
  <si>
    <t>031-228-3398</t>
  </si>
  <si>
    <t>031-729-4443</t>
  </si>
  <si>
    <t>031-729-4162</t>
  </si>
  <si>
    <t>031-729-4163</t>
  </si>
  <si>
    <t>031-729-4422</t>
  </si>
  <si>
    <t>031-729-4423</t>
  </si>
  <si>
    <t>031-729-4874</t>
  </si>
  <si>
    <t>031-729-4873</t>
  </si>
  <si>
    <t>031-729-4525</t>
  </si>
  <si>
    <t>031-729-4424</t>
  </si>
  <si>
    <t>031-729-4433</t>
  </si>
  <si>
    <t>031-729-4432</t>
  </si>
  <si>
    <t>031-729-4434</t>
  </si>
  <si>
    <t>031-729-4902</t>
  </si>
  <si>
    <t>031-6193-240</t>
  </si>
  <si>
    <t>031-6193-323</t>
  </si>
  <si>
    <t>031-6193-325</t>
  </si>
  <si>
    <t>032-625-3762</t>
  </si>
  <si>
    <t>032-625-3761</t>
  </si>
  <si>
    <t>032-625-3763</t>
  </si>
  <si>
    <t>032-625-3753</t>
  </si>
  <si>
    <t>032-625-3754</t>
  </si>
  <si>
    <t>032-625-3751</t>
  </si>
  <si>
    <t>032-625-3752</t>
  </si>
  <si>
    <t>031-369-1714</t>
  </si>
  <si>
    <t>031-481-2386</t>
  </si>
  <si>
    <t>031-481-2909</t>
  </si>
  <si>
    <t>031-481-2388</t>
  </si>
  <si>
    <t>031-481-2398</t>
  </si>
  <si>
    <t>031-8045-2561</t>
  </si>
  <si>
    <t>031-8045-5065</t>
  </si>
  <si>
    <t>031-8045-5642</t>
  </si>
  <si>
    <t>301-8045-2382</t>
  </si>
  <si>
    <t>031-8045-2399</t>
  </si>
  <si>
    <t>031-8045-2398</t>
  </si>
  <si>
    <t>031-8045-2402</t>
  </si>
  <si>
    <t>031-8045-2407</t>
  </si>
  <si>
    <t>031-8045-5282</t>
  </si>
  <si>
    <t>031-8045-2366</t>
  </si>
  <si>
    <t>031-5189-3224</t>
  </si>
  <si>
    <t>031-8024-4132</t>
  </si>
  <si>
    <t>031-8024-4174</t>
  </si>
  <si>
    <t>031-8024-4172</t>
  </si>
  <si>
    <t>031-8024-4136</t>
  </si>
  <si>
    <t>031-8024-4146</t>
  </si>
  <si>
    <t>031-310-3737</t>
  </si>
  <si>
    <t>031-310-3736</t>
  </si>
  <si>
    <t>031-980-5624</t>
  </si>
  <si>
    <t>02-2680-6595</t>
  </si>
  <si>
    <t>02-2680-2374</t>
  </si>
  <si>
    <t>02-2680-2907</t>
  </si>
  <si>
    <t>02-2680-2363</t>
  </si>
  <si>
    <t>031-390-0727</t>
  </si>
  <si>
    <t>031-390-0964</t>
  </si>
  <si>
    <t>031-390-0589</t>
  </si>
  <si>
    <t>031-390-0967</t>
  </si>
  <si>
    <t>031-390-0228</t>
  </si>
  <si>
    <t>031-390-0956</t>
  </si>
  <si>
    <t>031-390-0914</t>
  </si>
  <si>
    <t>031-390-0966</t>
  </si>
  <si>
    <t>031-390-0467</t>
  </si>
  <si>
    <t>031-8036-7773</t>
  </si>
  <si>
    <t>031-8036-7777</t>
  </si>
  <si>
    <t>031-8036-7774</t>
  </si>
  <si>
    <t>031-644-7133</t>
  </si>
  <si>
    <t>031-678-3023</t>
  </si>
  <si>
    <t>031-678-3022</t>
  </si>
  <si>
    <t>031-345-3498</t>
  </si>
  <si>
    <t>031-345-3497</t>
  </si>
  <si>
    <t>031-345-3492</t>
  </si>
  <si>
    <t>031-345-3494</t>
  </si>
  <si>
    <t>031-345-3493</t>
  </si>
  <si>
    <t>031-790-5162</t>
  </si>
  <si>
    <t>031-790-5737</t>
  </si>
  <si>
    <t>02-3677-2652</t>
  </si>
  <si>
    <t>02-3677-2653</t>
  </si>
  <si>
    <t>02-3677-2656</t>
  </si>
  <si>
    <t>02-3677-2657</t>
  </si>
  <si>
    <t>031-590-4417</t>
  </si>
  <si>
    <t>031-590-4769</t>
  </si>
  <si>
    <t>031-590-8337</t>
  </si>
  <si>
    <t>031-590-8753</t>
  </si>
  <si>
    <t>031-590-2386</t>
  </si>
  <si>
    <t>031-590-4317</t>
  </si>
  <si>
    <t>031-828-8845</t>
  </si>
  <si>
    <t>031-828-8844</t>
  </si>
  <si>
    <t>031-828-8813</t>
  </si>
  <si>
    <t>031-828-8843</t>
  </si>
  <si>
    <t>031-828-8842</t>
  </si>
  <si>
    <t>031-828-8816</t>
  </si>
  <si>
    <t>031-828-8812</t>
  </si>
  <si>
    <t>031-860-2402</t>
  </si>
  <si>
    <t>031-8075-343</t>
  </si>
  <si>
    <t>031-550-2492</t>
  </si>
  <si>
    <t>031-550-8304</t>
  </si>
  <si>
    <t>031-550-2411</t>
  </si>
  <si>
    <t>031-940-4776</t>
  </si>
  <si>
    <t>031-940-4775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</si>
</sst>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176" formatCode="\'yy/mm/dd"/>
    <numFmt numFmtId="177" formatCode="0_ "/>
    <numFmt numFmtId="178" formatCode="#,##0_ "/>
    <numFmt numFmtId="179" formatCode="\'yy\.mm\.dd"/>
    <numFmt numFmtId="180" formatCode="#,##0_);[Red]\(#,##0\)"/>
    <numFmt numFmtId="181" formatCode="0_);[Red]\(0\)"/>
    <numFmt numFmtId="182" formatCode="#,###&quot;개&quot;\ &quot;구&quot;&quot;역&quot;"/>
    <numFmt numFmtId="183" formatCode="&quot;[총&quot;\ ##&quot;개 구역 중]&quot;"/>
    <numFmt numFmtId="184" formatCode="#,##0.0_);[Red]\(#,##0.0\)"/>
    <numFmt numFmtId="185" formatCode="0&quot;개월&quot;;;"/>
    <numFmt numFmtId="186" formatCode="\'yy\/mm\/dd"/>
    <numFmt numFmtId="187" formatCode="0.0%"/>
    <numFmt numFmtId="188" formatCode="_-* #,##0.0_-;\-* #,##0.0_-;_-* &quot;-&quot;?_-;_-@_-"/>
    <numFmt numFmtId="189" formatCode="_-* #,##0.00_-;\-* #,##0.00_-;_-* &quot;-&quot;_-;_-@_-"/>
  </numFmts>
  <fonts count="6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26"/>
      <name val="HY헤드라인M"/>
      <family val="1"/>
      <charset val="129"/>
    </font>
    <font>
      <b/>
      <sz val="16"/>
      <name val="맑은 고딕"/>
      <family val="3"/>
      <charset val="129"/>
      <scheme val="major"/>
    </font>
    <font>
      <b/>
      <sz val="16"/>
      <name val="굴림"/>
      <family val="3"/>
      <charset val="129"/>
    </font>
    <font>
      <b/>
      <sz val="16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sz val="8"/>
      <color rgb="FF000000"/>
      <name val="휴먼명조"/>
      <family val="3"/>
      <charset val="129"/>
    </font>
    <font>
      <sz val="10"/>
      <color rgb="FF0000FF"/>
      <name val="휴먼명조"/>
      <family val="3"/>
      <charset val="129"/>
    </font>
    <font>
      <sz val="10"/>
      <color rgb="FFFF0000"/>
      <name val="휴먼명조"/>
      <family val="3"/>
      <charset val="129"/>
    </font>
    <font>
      <b/>
      <sz val="11"/>
      <name val="굴림"/>
      <family val="3"/>
      <charset val="129"/>
    </font>
    <font>
      <b/>
      <sz val="16"/>
      <name val="돋움"/>
      <family val="3"/>
      <charset val="129"/>
    </font>
    <font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한양중고딕"/>
      <family val="3"/>
      <charset val="129"/>
    </font>
    <font>
      <sz val="11"/>
      <color rgb="FF000000"/>
      <name val="한양중고딕"/>
      <family val="3"/>
      <charset val="129"/>
    </font>
    <font>
      <b/>
      <sz val="11"/>
      <color rgb="FFFF0000"/>
      <name val="한양중고딕"/>
      <family val="3"/>
      <charset val="129"/>
    </font>
    <font>
      <sz val="11"/>
      <color rgb="FFFF0000"/>
      <name val="한양중고딕"/>
      <family val="3"/>
      <charset val="129"/>
    </font>
    <font>
      <b/>
      <sz val="11"/>
      <color theme="1"/>
      <name val="한양중고딕"/>
      <family val="3"/>
      <charset val="129"/>
    </font>
    <font>
      <sz val="11"/>
      <name val="굴림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0"/>
      <name val="굴림체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4"/>
      <name val="HY헤드라인M"/>
      <family val="1"/>
      <charset val="129"/>
    </font>
    <font>
      <sz val="10"/>
      <color rgb="FFFF0000"/>
      <name val="굴림"/>
      <family val="3"/>
      <charset val="129"/>
    </font>
    <font>
      <b/>
      <sz val="10"/>
      <color rgb="FFFF0000"/>
      <name val="경기천년바탕 Regular"/>
      <family val="1"/>
      <charset val="129"/>
    </font>
    <font>
      <strike/>
      <sz val="10"/>
      <name val="굴림체"/>
      <family val="3"/>
      <charset val="129"/>
    </font>
    <font>
      <b/>
      <sz val="10"/>
      <name val="굴림체"/>
      <family val="3"/>
      <charset val="129"/>
    </font>
    <font>
      <strike/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name val="Malgun gothic"/>
      <family val="3"/>
      <charset val="129"/>
    </font>
    <font>
      <sz val="11"/>
      <name val="맑은 고딕"/>
      <family val="3"/>
      <charset val="129"/>
    </font>
    <font>
      <b/>
      <sz val="12"/>
      <name val="굴림체"/>
      <family val="3"/>
      <charset val="129"/>
    </font>
    <font>
      <sz val="10"/>
      <name val="Gulim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DBEEF3"/>
        <bgColor indexed="64"/>
      </patternFill>
    </fill>
  </fills>
  <borders count="6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825">
    <xf numFmtId="0" fontId="0" fillId="0" borderId="0">
      <alignment vertical="center"/>
    </xf>
    <xf numFmtId="0" fontId="4" fillId="0" borderId="0"/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0" fontId="64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  <xf numFmtId="41" fontId="1" fillId="0" borderId="0">
      <alignment vertical="center"/>
    </xf>
  </cellStyleXfs>
  <cellXfs count="385">
    <xf numFmtId="0" fontId="0" fillId="0" borderId="0" xfId="0" applyAlignment="1">
      <alignment vertical="center"/>
    </xf>
    <xf numFmtId="0" fontId="4" fillId="0" borderId="0" xfId="0" applyFont="1" applyAlignment="1"/>
    <xf numFmtId="0" fontId="11" fillId="0" borderId="0" xfId="0" applyFont="1" applyAlignment="1"/>
    <xf numFmtId="0" fontId="0" fillId="0" borderId="0" xfId="0" applyAlignment="1">
      <alignment horizontal="right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3" fillId="4" borderId="1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33" fillId="0" borderId="45" xfId="0" applyFont="1" applyBorder="1" applyAlignment="1">
      <alignment horizontal="center" vertical="center" wrapText="1"/>
    </xf>
    <xf numFmtId="0" fontId="34" fillId="0" borderId="45" xfId="0" applyFont="1" applyBorder="1" applyAlignment="1">
      <alignment horizontal="center" vertical="center" wrapText="1"/>
    </xf>
    <xf numFmtId="3" fontId="34" fillId="0" borderId="45" xfId="0" applyNumberFormat="1" applyFont="1" applyBorder="1" applyAlignment="1">
      <alignment horizontal="center" vertical="center" wrapText="1"/>
    </xf>
    <xf numFmtId="0" fontId="35" fillId="0" borderId="45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39" fillId="0" borderId="45" xfId="0" applyFont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33" fillId="0" borderId="5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12" fillId="0" borderId="50" xfId="0" applyFont="1" applyBorder="1" applyAlignment="1">
      <alignment horizontal="center" vertical="center" wrapText="1"/>
    </xf>
    <xf numFmtId="0" fontId="0" fillId="0" borderId="50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12" fillId="8" borderId="45" xfId="0" applyFont="1" applyFill="1" applyBorder="1" applyAlignment="1">
      <alignment horizontal="center" vertical="center" wrapText="1"/>
    </xf>
    <xf numFmtId="0" fontId="44" fillId="8" borderId="45" xfId="0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47" fillId="0" borderId="45" xfId="0" applyFont="1" applyBorder="1" applyAlignment="1">
      <alignment horizontal="center" vertical="center" wrapText="1"/>
    </xf>
    <xf numFmtId="0" fontId="45" fillId="0" borderId="45" xfId="0" applyFont="1" applyBorder="1" applyAlignment="1">
      <alignment horizontal="center" vertical="center" wrapText="1"/>
    </xf>
    <xf numFmtId="0" fontId="48" fillId="0" borderId="45" xfId="0" applyFont="1" applyBorder="1" applyAlignment="1">
      <alignment horizontal="center" vertical="center" wrapText="1"/>
    </xf>
    <xf numFmtId="0" fontId="21" fillId="4" borderId="27" xfId="0" applyFont="1" applyFill="1" applyBorder="1" applyAlignment="1">
      <alignment horizontal="center" vertical="center" wrapText="1"/>
    </xf>
    <xf numFmtId="0" fontId="21" fillId="4" borderId="28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23" fillId="4" borderId="28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0" fillId="0" borderId="0" xfId="0" applyFont="1" applyAlignment="1">
      <alignment vertical="center" shrinkToFit="1"/>
    </xf>
    <xf numFmtId="0" fontId="51" fillId="0" borderId="0" xfId="0" applyFont="1" applyAlignment="1">
      <alignment vertical="center" shrinkToFit="1"/>
    </xf>
    <xf numFmtId="0" fontId="28" fillId="0" borderId="1" xfId="0" applyFont="1" applyBorder="1" applyAlignment="1">
      <alignment horizontal="center" vertical="center" shrinkToFit="1"/>
    </xf>
    <xf numFmtId="0" fontId="43" fillId="0" borderId="1" xfId="0" applyFont="1" applyBorder="1" applyAlignment="1">
      <alignment vertical="center" shrinkToFit="1"/>
    </xf>
    <xf numFmtId="0" fontId="28" fillId="6" borderId="1" xfId="0" applyFont="1" applyFill="1" applyBorder="1" applyAlignment="1">
      <alignment horizontal="center" vertical="center" shrinkToFit="1"/>
    </xf>
    <xf numFmtId="0" fontId="50" fillId="0" borderId="1" xfId="0" applyFont="1" applyBorder="1" applyAlignment="1">
      <alignment vertical="center" shrinkToFit="1"/>
    </xf>
    <xf numFmtId="0" fontId="51" fillId="0" borderId="1" xfId="0" applyFont="1" applyBorder="1" applyAlignment="1">
      <alignment vertical="center" shrinkToFit="1"/>
    </xf>
    <xf numFmtId="0" fontId="17" fillId="0" borderId="1" xfId="0" applyFont="1" applyBorder="1" applyAlignment="1">
      <alignment vertical="center" shrinkToFit="1"/>
    </xf>
    <xf numFmtId="0" fontId="29" fillId="0" borderId="0" xfId="0" applyFont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42" fillId="0" borderId="0" xfId="0" applyFont="1" applyAlignment="1">
      <alignment vertical="center" shrinkToFit="1"/>
    </xf>
    <xf numFmtId="0" fontId="57" fillId="0" borderId="0" xfId="0" applyFont="1" applyAlignment="1">
      <alignment horizontal="center" vertical="center" wrapText="1"/>
    </xf>
    <xf numFmtId="0" fontId="42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40" fillId="6" borderId="15" xfId="0" applyFont="1" applyFill="1" applyBorder="1" applyAlignment="1">
      <alignment horizontal="center" vertical="center"/>
    </xf>
    <xf numFmtId="14" fontId="40" fillId="6" borderId="15" xfId="0" applyNumberFormat="1" applyFont="1" applyFill="1" applyBorder="1" applyAlignment="1">
      <alignment horizontal="center" vertical="center" shrinkToFit="1"/>
    </xf>
    <xf numFmtId="14" fontId="40" fillId="6" borderId="15" xfId="0" applyNumberFormat="1" applyFont="1" applyFill="1" applyBorder="1" applyAlignment="1">
      <alignment horizontal="center" vertical="center"/>
    </xf>
    <xf numFmtId="0" fontId="52" fillId="3" borderId="15" xfId="0" applyFont="1" applyFill="1" applyBorder="1" applyAlignment="1">
      <alignment horizontal="center" vertical="center" shrinkToFit="1"/>
    </xf>
    <xf numFmtId="0" fontId="43" fillId="0" borderId="0" xfId="0" applyFont="1" applyAlignment="1">
      <alignment vertical="center" shrinkToFit="1"/>
    </xf>
    <xf numFmtId="0" fontId="49" fillId="6" borderId="19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 shrinkToFit="1"/>
    </xf>
    <xf numFmtId="14" fontId="5" fillId="0" borderId="0" xfId="0" applyNumberFormat="1" applyFont="1" applyAlignment="1">
      <alignment horizontal="center" vertical="center"/>
    </xf>
    <xf numFmtId="0" fontId="31" fillId="0" borderId="0" xfId="0" applyFont="1" applyAlignment="1">
      <alignment vertical="center"/>
    </xf>
    <xf numFmtId="0" fontId="56" fillId="0" borderId="0" xfId="0" applyFont="1" applyAlignment="1">
      <alignment horizontal="center" vertical="center"/>
    </xf>
    <xf numFmtId="0" fontId="56" fillId="0" borderId="0" xfId="0" applyFont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63" fillId="0" borderId="0" xfId="0" applyFont="1" applyAlignment="1">
      <alignment horizontal="center" vertical="center"/>
    </xf>
    <xf numFmtId="0" fontId="61" fillId="0" borderId="0" xfId="0" applyFont="1" applyAlignment="1">
      <alignment vertical="center"/>
    </xf>
    <xf numFmtId="0" fontId="31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3" fillId="0" borderId="46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45" fillId="0" borderId="46" xfId="0" applyFont="1" applyBorder="1" applyAlignment="1">
      <alignment horizontal="center" vertical="center" wrapText="1"/>
    </xf>
    <xf numFmtId="0" fontId="45" fillId="0" borderId="47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180" fontId="5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vertical="center"/>
    </xf>
    <xf numFmtId="41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/>
    </xf>
    <xf numFmtId="0" fontId="0" fillId="0" borderId="0" xfId="0" applyAlignment="1"/>
    <xf numFmtId="180" fontId="5" fillId="0" borderId="0" xfId="0" applyNumberFormat="1" applyFont="1" applyAlignment="1">
      <alignment horizontal="left" vertical="center"/>
    </xf>
    <xf numFmtId="183" fontId="40" fillId="6" borderId="15" xfId="0" applyNumberFormat="1" applyFont="1" applyFill="1" applyBorder="1" applyAlignment="1">
      <alignment vertical="center" shrinkToFit="1"/>
    </xf>
    <xf numFmtId="182" fontId="40" fillId="6" borderId="15" xfId="0" applyNumberFormat="1" applyFont="1" applyFill="1" applyBorder="1" applyAlignment="1">
      <alignment horizontal="center" vertical="center" shrinkToFit="1"/>
    </xf>
    <xf numFmtId="184" fontId="40" fillId="6" borderId="15" xfId="0" applyNumberFormat="1" applyFont="1" applyFill="1" applyBorder="1" applyAlignment="1">
      <alignment horizontal="center" vertical="center" shrinkToFit="1"/>
    </xf>
    <xf numFmtId="180" fontId="40" fillId="6" borderId="15" xfId="0" applyNumberFormat="1" applyFont="1" applyFill="1" applyBorder="1" applyAlignment="1">
      <alignment horizontal="right" vertical="center"/>
    </xf>
    <xf numFmtId="184" fontId="40" fillId="6" borderId="15" xfId="0" applyNumberFormat="1" applyFont="1" applyFill="1" applyBorder="1" applyAlignment="1">
      <alignment horizontal="center" vertical="center"/>
    </xf>
    <xf numFmtId="180" fontId="40" fillId="6" borderId="15" xfId="0" applyNumberFormat="1" applyFont="1" applyFill="1" applyBorder="1" applyAlignment="1">
      <alignment vertical="center"/>
    </xf>
    <xf numFmtId="180" fontId="40" fillId="6" borderId="15" xfId="0" applyNumberFormat="1" applyFont="1" applyFill="1" applyBorder="1" applyAlignment="1">
      <alignment horizontal="center" vertical="center" shrinkToFit="1"/>
    </xf>
    <xf numFmtId="180" fontId="40" fillId="6" borderId="15" xfId="0" applyNumberFormat="1" applyFont="1" applyFill="1" applyBorder="1" applyAlignment="1">
      <alignment horizontal="center" vertical="center"/>
    </xf>
    <xf numFmtId="179" fontId="40" fillId="6" borderId="15" xfId="0" applyNumberFormat="1" applyFont="1" applyFill="1" applyBorder="1" applyAlignment="1">
      <alignment horizontal="center" vertical="center"/>
    </xf>
    <xf numFmtId="179" fontId="52" fillId="3" borderId="15" xfId="0" applyNumberFormat="1" applyFont="1" applyFill="1" applyBorder="1" applyAlignment="1">
      <alignment horizontal="center" vertical="center"/>
    </xf>
    <xf numFmtId="179" fontId="52" fillId="3" borderId="15" xfId="0" quotePrefix="1" applyNumberFormat="1" applyFont="1" applyFill="1" applyBorder="1" applyAlignment="1">
      <alignment horizontal="center" vertical="center"/>
    </xf>
    <xf numFmtId="179" fontId="52" fillId="3" borderId="16" xfId="0" applyNumberFormat="1" applyFont="1" applyFill="1" applyBorder="1" applyAlignment="1">
      <alignment horizontal="center" vertical="center"/>
    </xf>
    <xf numFmtId="41" fontId="52" fillId="3" borderId="15" xfId="0" applyNumberFormat="1" applyFont="1" applyFill="1" applyBorder="1" applyAlignment="1">
      <alignment horizontal="center" vertical="center"/>
    </xf>
    <xf numFmtId="41" fontId="13" fillId="6" borderId="11" xfId="0" applyNumberFormat="1" applyFont="1" applyFill="1" applyBorder="1" applyAlignment="1">
      <alignment vertical="center" shrinkToFit="1"/>
    </xf>
    <xf numFmtId="41" fontId="13" fillId="3" borderId="13" xfId="0" applyNumberFormat="1" applyFont="1" applyFill="1" applyBorder="1" applyAlignment="1">
      <alignment vertical="center" shrinkToFit="1"/>
    </xf>
    <xf numFmtId="41" fontId="13" fillId="6" borderId="13" xfId="0" applyNumberFormat="1" applyFont="1" applyFill="1" applyBorder="1" applyAlignment="1">
      <alignment vertical="center" shrinkToFit="1"/>
    </xf>
    <xf numFmtId="41" fontId="13" fillId="6" borderId="14" xfId="0" applyNumberFormat="1" applyFont="1" applyFill="1" applyBorder="1" applyAlignment="1">
      <alignment vertical="center" shrinkToFit="1"/>
    </xf>
    <xf numFmtId="41" fontId="13" fillId="4" borderId="11" xfId="0" applyNumberFormat="1" applyFont="1" applyFill="1" applyBorder="1" applyAlignment="1">
      <alignment vertical="center" shrinkToFit="1"/>
    </xf>
    <xf numFmtId="41" fontId="13" fillId="6" borderId="31" xfId="0" applyNumberFormat="1" applyFont="1" applyFill="1" applyBorder="1" applyAlignment="1">
      <alignment vertical="center" shrinkToFit="1"/>
    </xf>
    <xf numFmtId="41" fontId="13" fillId="6" borderId="30" xfId="0" applyNumberFormat="1" applyFont="1" applyFill="1" applyBorder="1" applyAlignment="1">
      <alignment vertical="center" shrinkToFit="1"/>
    </xf>
    <xf numFmtId="41" fontId="13" fillId="6" borderId="54" xfId="0" applyNumberFormat="1" applyFont="1" applyFill="1" applyBorder="1" applyAlignment="1">
      <alignment vertical="center" shrinkToFit="1"/>
    </xf>
    <xf numFmtId="41" fontId="13" fillId="4" borderId="12" xfId="0" applyNumberFormat="1" applyFont="1" applyFill="1" applyBorder="1" applyAlignment="1">
      <alignment vertical="center" shrinkToFit="1"/>
    </xf>
    <xf numFmtId="41" fontId="13" fillId="3" borderId="30" xfId="0" applyNumberFormat="1" applyFont="1" applyFill="1" applyBorder="1" applyAlignment="1">
      <alignment vertical="center" shrinkToFit="1"/>
    </xf>
    <xf numFmtId="41" fontId="13" fillId="3" borderId="31" xfId="0" applyNumberFormat="1" applyFont="1" applyFill="1" applyBorder="1" applyAlignment="1">
      <alignment vertical="center" shrinkToFit="1"/>
    </xf>
    <xf numFmtId="41" fontId="20" fillId="0" borderId="57" xfId="0" applyNumberFormat="1" applyFont="1" applyBorder="1" applyAlignment="1">
      <alignment vertical="center"/>
    </xf>
    <xf numFmtId="41" fontId="20" fillId="0" borderId="58" xfId="0" applyNumberFormat="1" applyFont="1" applyBorder="1" applyAlignment="1">
      <alignment vertical="center"/>
    </xf>
    <xf numFmtId="41" fontId="13" fillId="6" borderId="27" xfId="0" applyNumberFormat="1" applyFont="1" applyFill="1" applyBorder="1" applyAlignment="1">
      <alignment vertical="center" shrinkToFit="1"/>
    </xf>
    <xf numFmtId="41" fontId="14" fillId="3" borderId="32" xfId="0" applyNumberFormat="1" applyFont="1" applyFill="1" applyBorder="1" applyAlignment="1">
      <alignment vertical="center" shrinkToFit="1"/>
    </xf>
    <xf numFmtId="41" fontId="14" fillId="3" borderId="55" xfId="0" applyNumberFormat="1" applyFont="1" applyFill="1" applyBorder="1" applyAlignment="1">
      <alignment vertical="center" shrinkToFit="1"/>
    </xf>
    <xf numFmtId="41" fontId="14" fillId="3" borderId="3" xfId="0" applyNumberFormat="1" applyFont="1" applyFill="1" applyBorder="1" applyAlignment="1">
      <alignment vertical="center" shrinkToFit="1"/>
    </xf>
    <xf numFmtId="41" fontId="14" fillId="3" borderId="20" xfId="0" applyNumberFormat="1" applyFont="1" applyFill="1" applyBorder="1" applyAlignment="1">
      <alignment vertical="center" shrinkToFit="1"/>
    </xf>
    <xf numFmtId="41" fontId="14" fillId="3" borderId="22" xfId="0" applyNumberFormat="1" applyFont="1" applyFill="1" applyBorder="1" applyAlignment="1">
      <alignment vertical="center" shrinkToFit="1"/>
    </xf>
    <xf numFmtId="41" fontId="13" fillId="4" borderId="27" xfId="0" applyNumberFormat="1" applyFont="1" applyFill="1" applyBorder="1" applyAlignment="1">
      <alignment vertical="center" shrinkToFit="1"/>
    </xf>
    <xf numFmtId="41" fontId="14" fillId="0" borderId="32" xfId="0" applyNumberFormat="1" applyFont="1" applyBorder="1" applyAlignment="1">
      <alignment vertical="center" shrinkToFit="1"/>
    </xf>
    <xf numFmtId="41" fontId="14" fillId="0" borderId="21" xfId="0" applyNumberFormat="1" applyFont="1" applyBorder="1" applyAlignment="1">
      <alignment vertical="center" shrinkToFit="1"/>
    </xf>
    <xf numFmtId="41" fontId="14" fillId="0" borderId="20" xfId="0" applyNumberFormat="1" applyFont="1" applyBorder="1" applyAlignment="1">
      <alignment vertical="center" shrinkToFit="1"/>
    </xf>
    <xf numFmtId="41" fontId="14" fillId="0" borderId="22" xfId="0" applyNumberFormat="1" applyFont="1" applyBorder="1" applyAlignment="1">
      <alignment vertical="center" shrinkToFit="1"/>
    </xf>
    <xf numFmtId="41" fontId="14" fillId="0" borderId="3" xfId="0" applyNumberFormat="1" applyFont="1" applyBorder="1" applyAlignment="1">
      <alignment vertical="center" shrinkToFit="1"/>
    </xf>
    <xf numFmtId="41" fontId="14" fillId="0" borderId="34" xfId="0" applyNumberFormat="1" applyFont="1" applyBorder="1" applyAlignment="1">
      <alignment vertical="center" shrinkToFit="1"/>
    </xf>
    <xf numFmtId="41" fontId="13" fillId="4" borderId="40" xfId="0" applyNumberFormat="1" applyFont="1" applyFill="1" applyBorder="1" applyAlignment="1">
      <alignment vertical="center" shrinkToFit="1"/>
    </xf>
    <xf numFmtId="41" fontId="54" fillId="0" borderId="33" xfId="0" applyNumberFormat="1" applyFont="1" applyBorder="1" applyAlignment="1">
      <alignment vertical="center" shrinkToFit="1"/>
    </xf>
    <xf numFmtId="41" fontId="54" fillId="0" borderId="34" xfId="0" applyNumberFormat="1" applyFont="1" applyBorder="1" applyAlignment="1">
      <alignment vertical="center" shrinkToFit="1"/>
    </xf>
    <xf numFmtId="41" fontId="54" fillId="0" borderId="2" xfId="0" applyNumberFormat="1" applyFont="1" applyBorder="1" applyAlignment="1">
      <alignment vertical="center" shrinkToFit="1"/>
    </xf>
    <xf numFmtId="41" fontId="54" fillId="0" borderId="1" xfId="0" applyNumberFormat="1" applyFont="1" applyBorder="1" applyAlignment="1">
      <alignment vertical="center" shrinkToFit="1"/>
    </xf>
    <xf numFmtId="41" fontId="53" fillId="9" borderId="38" xfId="0" applyNumberFormat="1" applyFont="1" applyFill="1" applyBorder="1" applyAlignment="1">
      <alignment vertical="center" shrinkToFit="1"/>
    </xf>
    <xf numFmtId="41" fontId="54" fillId="0" borderId="35" xfId="0" applyNumberFormat="1" applyFont="1" applyBorder="1" applyAlignment="1">
      <alignment vertical="center" shrinkToFit="1"/>
    </xf>
    <xf numFmtId="41" fontId="54" fillId="0" borderId="23" xfId="0" applyNumberFormat="1" applyFont="1" applyBorder="1" applyAlignment="1">
      <alignment vertical="center" shrinkToFit="1"/>
    </xf>
    <xf numFmtId="41" fontId="14" fillId="0" borderId="33" xfId="0" applyNumberFormat="1" applyFont="1" applyBorder="1" applyAlignment="1">
      <alignment vertical="center" shrinkToFit="1"/>
    </xf>
    <xf numFmtId="41" fontId="14" fillId="0" borderId="2" xfId="0" applyNumberFormat="1" applyFont="1" applyBorder="1" applyAlignment="1">
      <alignment vertical="center" shrinkToFit="1"/>
    </xf>
    <xf numFmtId="41" fontId="14" fillId="0" borderId="1" xfId="0" applyNumberFormat="1" applyFont="1" applyBorder="1" applyAlignment="1">
      <alignment vertical="center" shrinkToFit="1"/>
    </xf>
    <xf numFmtId="41" fontId="13" fillId="4" borderId="38" xfId="0" applyNumberFormat="1" applyFont="1" applyFill="1" applyBorder="1" applyAlignment="1">
      <alignment vertical="center" shrinkToFit="1"/>
    </xf>
    <xf numFmtId="41" fontId="14" fillId="0" borderId="35" xfId="0" applyNumberFormat="1" applyFont="1" applyBorder="1" applyAlignment="1">
      <alignment vertical="center" shrinkToFit="1"/>
    </xf>
    <xf numFmtId="41" fontId="14" fillId="0" borderId="23" xfId="0" applyNumberFormat="1" applyFont="1" applyBorder="1" applyAlignment="1">
      <alignment vertical="center" shrinkToFit="1"/>
    </xf>
    <xf numFmtId="41" fontId="14" fillId="3" borderId="1" xfId="0" applyNumberFormat="1" applyFont="1" applyFill="1" applyBorder="1" applyAlignment="1">
      <alignment vertical="center" shrinkToFit="1"/>
    </xf>
    <xf numFmtId="41" fontId="14" fillId="3" borderId="4" xfId="0" applyNumberFormat="1" applyFont="1" applyFill="1" applyBorder="1" applyAlignment="1">
      <alignment vertical="center" shrinkToFit="1"/>
    </xf>
    <xf numFmtId="41" fontId="14" fillId="3" borderId="23" xfId="0" applyNumberFormat="1" applyFont="1" applyFill="1" applyBorder="1" applyAlignment="1">
      <alignment vertical="center" shrinkToFit="1"/>
    </xf>
    <xf numFmtId="41" fontId="13" fillId="4" borderId="28" xfId="0" applyNumberFormat="1" applyFont="1" applyFill="1" applyBorder="1" applyAlignment="1">
      <alignment vertical="center" shrinkToFit="1"/>
    </xf>
    <xf numFmtId="41" fontId="14" fillId="0" borderId="4" xfId="0" applyNumberFormat="1" applyFont="1" applyBorder="1" applyAlignment="1">
      <alignment vertical="center" shrinkToFit="1"/>
    </xf>
    <xf numFmtId="41" fontId="13" fillId="4" borderId="39" xfId="0" applyNumberFormat="1" applyFont="1" applyFill="1" applyBorder="1" applyAlignment="1">
      <alignment vertical="center" shrinkToFit="1"/>
    </xf>
    <xf numFmtId="41" fontId="14" fillId="0" borderId="36" xfId="0" applyNumberFormat="1" applyFont="1" applyBorder="1" applyAlignment="1">
      <alignment vertical="center" shrinkToFit="1"/>
    </xf>
    <xf numFmtId="41" fontId="14" fillId="0" borderId="37" xfId="0" applyNumberFormat="1" applyFont="1" applyBorder="1" applyAlignment="1">
      <alignment vertical="center" shrinkToFit="1"/>
    </xf>
    <xf numFmtId="41" fontId="14" fillId="0" borderId="26" xfId="0" applyNumberFormat="1" applyFont="1" applyBorder="1" applyAlignment="1">
      <alignment vertical="center" shrinkToFit="1"/>
    </xf>
    <xf numFmtId="41" fontId="14" fillId="0" borderId="24" xfId="0" applyNumberFormat="1" applyFont="1" applyBorder="1" applyAlignment="1">
      <alignment vertical="center" shrinkToFit="1"/>
    </xf>
    <xf numFmtId="41" fontId="14" fillId="0" borderId="25" xfId="0" applyNumberFormat="1" applyFont="1" applyBorder="1" applyAlignment="1">
      <alignment vertical="center" shrinkToFit="1"/>
    </xf>
    <xf numFmtId="41" fontId="20" fillId="0" borderId="59" xfId="0" applyNumberFormat="1" applyFont="1" applyBorder="1" applyAlignment="1">
      <alignment vertical="center"/>
    </xf>
    <xf numFmtId="41" fontId="20" fillId="0" borderId="60" xfId="0" applyNumberFormat="1" applyFont="1" applyBorder="1" applyAlignment="1">
      <alignment vertical="center"/>
    </xf>
    <xf numFmtId="41" fontId="20" fillId="0" borderId="61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41" fontId="43" fillId="6" borderId="1" xfId="0" applyNumberFormat="1" applyFont="1" applyFill="1" applyBorder="1" applyAlignment="1">
      <alignment vertical="center" shrinkToFit="1"/>
    </xf>
    <xf numFmtId="41" fontId="43" fillId="6" borderId="0" xfId="0" applyNumberFormat="1" applyFont="1" applyFill="1" applyAlignment="1">
      <alignment vertical="center" shrinkToFit="1"/>
    </xf>
    <xf numFmtId="41" fontId="43" fillId="0" borderId="0" xfId="0" applyNumberFormat="1" applyFont="1" applyAlignment="1">
      <alignment vertical="center" shrinkToFit="1"/>
    </xf>
    <xf numFmtId="41" fontId="50" fillId="0" borderId="1" xfId="0" applyNumberFormat="1" applyFont="1" applyBorder="1" applyAlignment="1">
      <alignment vertical="center" shrinkToFit="1"/>
    </xf>
    <xf numFmtId="41" fontId="50" fillId="0" borderId="0" xfId="0" applyNumberFormat="1" applyFont="1" applyAlignment="1">
      <alignment vertical="center" shrinkToFit="1"/>
    </xf>
    <xf numFmtId="41" fontId="51" fillId="0" borderId="1" xfId="0" applyNumberFormat="1" applyFont="1" applyBorder="1" applyAlignment="1">
      <alignment vertical="center" shrinkToFit="1"/>
    </xf>
    <xf numFmtId="41" fontId="51" fillId="0" borderId="0" xfId="0" applyNumberFormat="1" applyFont="1" applyAlignment="1">
      <alignment vertical="center" shrinkToFit="1"/>
    </xf>
    <xf numFmtId="41" fontId="42" fillId="0" borderId="1" xfId="0" applyNumberFormat="1" applyFont="1" applyBorder="1" applyAlignment="1">
      <alignment vertical="center" shrinkToFit="1"/>
    </xf>
    <xf numFmtId="41" fontId="42" fillId="0" borderId="0" xfId="0" applyNumberFormat="1" applyFont="1" applyAlignment="1">
      <alignment vertical="center" shrinkToFit="1"/>
    </xf>
    <xf numFmtId="41" fontId="0" fillId="0" borderId="0" xfId="0" applyNumberFormat="1" applyAlignment="1">
      <alignment vertical="center"/>
    </xf>
    <xf numFmtId="41" fontId="15" fillId="4" borderId="11" xfId="0" applyNumberFormat="1" applyFont="1" applyFill="1" applyBorder="1" applyAlignment="1">
      <alignment vertical="center" shrinkToFit="1"/>
    </xf>
    <xf numFmtId="41" fontId="16" fillId="3" borderId="13" xfId="0" applyNumberFormat="1" applyFont="1" applyFill="1" applyBorder="1" applyAlignment="1">
      <alignment vertical="center" shrinkToFit="1"/>
    </xf>
    <xf numFmtId="41" fontId="15" fillId="6" borderId="30" xfId="0" applyNumberFormat="1" applyFont="1" applyFill="1" applyBorder="1" applyAlignment="1">
      <alignment vertical="center" shrinkToFit="1"/>
    </xf>
    <xf numFmtId="41" fontId="15" fillId="6" borderId="13" xfId="0" applyNumberFormat="1" applyFont="1" applyFill="1" applyBorder="1" applyAlignment="1">
      <alignment vertical="center" shrinkToFit="1"/>
    </xf>
    <xf numFmtId="41" fontId="15" fillId="6" borderId="14" xfId="0" applyNumberFormat="1" applyFont="1" applyFill="1" applyBorder="1" applyAlignment="1">
      <alignment vertical="center" shrinkToFit="1"/>
    </xf>
    <xf numFmtId="41" fontId="13" fillId="4" borderId="29" xfId="0" applyNumberFormat="1" applyFont="1" applyFill="1" applyBorder="1" applyAlignment="1">
      <alignment vertical="center" shrinkToFit="1"/>
    </xf>
    <xf numFmtId="0" fontId="10" fillId="0" borderId="15" xfId="0" applyFont="1" applyBorder="1" applyAlignment="1">
      <alignment horizontal="center" vertical="center" wrapText="1"/>
    </xf>
    <xf numFmtId="0" fontId="63" fillId="0" borderId="0" xfId="0" applyFont="1">
      <alignment vertical="center"/>
    </xf>
    <xf numFmtId="0" fontId="62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56" fillId="0" borderId="0" xfId="0" applyFont="1">
      <alignment vertical="center"/>
    </xf>
    <xf numFmtId="0" fontId="56" fillId="0" borderId="0" xfId="0" applyFont="1" applyFill="1" applyAlignment="1">
      <alignment horizontal="center" vertical="center"/>
    </xf>
    <xf numFmtId="177" fontId="52" fillId="0" borderId="15" xfId="0" applyNumberFormat="1" applyFont="1" applyFill="1" applyBorder="1" applyAlignment="1">
      <alignment horizontal="center" vertical="center"/>
    </xf>
    <xf numFmtId="41" fontId="20" fillId="0" borderId="0" xfId="0" applyNumberFormat="1" applyFont="1" applyBorder="1" applyAlignment="1">
      <alignment vertical="center"/>
    </xf>
    <xf numFmtId="0" fontId="52" fillId="0" borderId="15" xfId="0" applyFont="1" applyFill="1" applyBorder="1" applyAlignment="1">
      <alignment horizontal="center" vertical="center" shrinkToFit="1"/>
    </xf>
    <xf numFmtId="0" fontId="52" fillId="0" borderId="15" xfId="0" applyFont="1" applyFill="1" applyBorder="1" applyAlignment="1">
      <alignment horizontal="center" vertical="center"/>
    </xf>
    <xf numFmtId="0" fontId="40" fillId="5" borderId="15" xfId="0" applyFont="1" applyFill="1" applyBorder="1" applyAlignment="1">
      <alignment horizontal="center" vertical="center" wrapText="1"/>
    </xf>
    <xf numFmtId="177" fontId="52" fillId="3" borderId="15" xfId="0" applyNumberFormat="1" applyFont="1" applyFill="1" applyBorder="1" applyAlignment="1">
      <alignment horizontal="center" vertical="center"/>
    </xf>
    <xf numFmtId="0" fontId="52" fillId="3" borderId="15" xfId="0" applyFont="1" applyFill="1" applyBorder="1" applyAlignment="1">
      <alignment horizontal="center" vertical="center"/>
    </xf>
    <xf numFmtId="41" fontId="52" fillId="3" borderId="15" xfId="2" applyFont="1" applyFill="1" applyBorder="1" applyAlignment="1">
      <alignment horizontal="center" vertical="center"/>
    </xf>
    <xf numFmtId="9" fontId="52" fillId="3" borderId="15" xfId="0" applyNumberFormat="1" applyFont="1" applyFill="1" applyBorder="1" applyAlignment="1">
      <alignment horizontal="center" vertical="center" shrinkToFit="1"/>
    </xf>
    <xf numFmtId="178" fontId="52" fillId="3" borderId="15" xfId="0" applyNumberFormat="1" applyFont="1" applyFill="1" applyBorder="1" applyAlignment="1">
      <alignment horizontal="center" vertical="center"/>
    </xf>
    <xf numFmtId="179" fontId="52" fillId="3" borderId="15" xfId="0" applyNumberFormat="1" applyFont="1" applyFill="1" applyBorder="1" applyAlignment="1">
      <alignment horizontal="center" vertical="center" shrinkToFit="1"/>
    </xf>
    <xf numFmtId="179" fontId="58" fillId="3" borderId="15" xfId="0" applyNumberFormat="1" applyFont="1" applyFill="1" applyBorder="1" applyAlignment="1">
      <alignment horizontal="center" vertical="center"/>
    </xf>
    <xf numFmtId="179" fontId="52" fillId="3" borderId="15" xfId="0" quotePrefix="1" applyNumberFormat="1" applyFont="1" applyFill="1" applyBorder="1" applyAlignment="1">
      <alignment horizontal="center" vertical="center" shrinkToFit="1"/>
    </xf>
    <xf numFmtId="179" fontId="5" fillId="3" borderId="15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9" fontId="52" fillId="3" borderId="15" xfId="0" applyNumberFormat="1" applyFont="1" applyFill="1" applyBorder="1" applyAlignment="1">
      <alignment horizontal="center" vertical="center" wrapText="1" shrinkToFit="1"/>
    </xf>
    <xf numFmtId="179" fontId="29" fillId="3" borderId="15" xfId="0" applyNumberFormat="1" applyFont="1" applyFill="1" applyBorder="1" applyAlignment="1">
      <alignment horizontal="center" vertical="center" shrinkToFit="1"/>
    </xf>
    <xf numFmtId="179" fontId="9" fillId="3" borderId="15" xfId="0" applyNumberFormat="1" applyFont="1" applyFill="1" applyBorder="1" applyAlignment="1">
      <alignment horizontal="center" vertical="center"/>
    </xf>
    <xf numFmtId="41" fontId="52" fillId="3" borderId="15" xfId="0" applyNumberFormat="1" applyFont="1" applyFill="1" applyBorder="1" applyAlignment="1">
      <alignment horizontal="center" vertical="center" shrinkToFit="1"/>
    </xf>
    <xf numFmtId="0" fontId="29" fillId="3" borderId="0" xfId="0" applyFont="1" applyFill="1" applyAlignment="1">
      <alignment horizontal="center" vertical="center"/>
    </xf>
    <xf numFmtId="0" fontId="29" fillId="3" borderId="15" xfId="0" applyFont="1" applyFill="1" applyBorder="1" applyAlignment="1">
      <alignment horizontal="center" vertical="center"/>
    </xf>
    <xf numFmtId="0" fontId="52" fillId="3" borderId="15" xfId="0" applyFont="1" applyFill="1" applyBorder="1" applyAlignment="1">
      <alignment horizontal="center" vertical="center" wrapText="1"/>
    </xf>
    <xf numFmtId="49" fontId="52" fillId="3" borderId="15" xfId="0" applyNumberFormat="1" applyFont="1" applyFill="1" applyBorder="1" applyAlignment="1">
      <alignment horizontal="center" vertical="center" shrinkToFit="1"/>
    </xf>
    <xf numFmtId="178" fontId="52" fillId="3" borderId="15" xfId="0" applyNumberFormat="1" applyFont="1" applyFill="1" applyBorder="1" applyAlignment="1">
      <alignment horizontal="center" vertical="center" shrinkToFit="1"/>
    </xf>
    <xf numFmtId="41" fontId="52" fillId="3" borderId="15" xfId="0" applyNumberFormat="1" applyFont="1" applyFill="1" applyBorder="1" applyAlignment="1">
      <alignment vertical="center"/>
    </xf>
    <xf numFmtId="0" fontId="52" fillId="3" borderId="15" xfId="0" quotePrefix="1" applyFont="1" applyFill="1" applyBorder="1" applyAlignment="1">
      <alignment horizontal="center" vertical="center" shrinkToFit="1"/>
    </xf>
    <xf numFmtId="179" fontId="52" fillId="3" borderId="15" xfId="0" applyNumberFormat="1" applyFont="1" applyFill="1" applyBorder="1" applyAlignment="1">
      <alignment horizontal="center"/>
    </xf>
    <xf numFmtId="41" fontId="52" fillId="3" borderId="15" xfId="0" applyNumberFormat="1" applyFont="1" applyFill="1" applyBorder="1" applyAlignment="1">
      <alignment horizontal="center" vertical="center" wrapText="1"/>
    </xf>
    <xf numFmtId="176" fontId="52" fillId="3" borderId="15" xfId="0" applyNumberFormat="1" applyFont="1" applyFill="1" applyBorder="1" applyAlignment="1">
      <alignment horizontal="center" vertical="center"/>
    </xf>
    <xf numFmtId="0" fontId="52" fillId="3" borderId="15" xfId="0" applyFont="1" applyFill="1" applyBorder="1" applyAlignment="1">
      <alignment horizontal="center" vertical="center" wrapText="1" shrinkToFit="1"/>
    </xf>
    <xf numFmtId="0" fontId="65" fillId="3" borderId="0" xfId="0" applyFont="1" applyFill="1" applyAlignment="1">
      <alignment vertical="center"/>
    </xf>
    <xf numFmtId="3" fontId="52" fillId="3" borderId="15" xfId="0" applyNumberFormat="1" applyFont="1" applyFill="1" applyBorder="1" applyAlignment="1">
      <alignment horizontal="right" vertical="center" wrapText="1"/>
    </xf>
    <xf numFmtId="0" fontId="52" fillId="3" borderId="56" xfId="0" applyFont="1" applyFill="1" applyBorder="1" applyAlignment="1">
      <alignment horizontal="right" vertical="center" wrapText="1"/>
    </xf>
    <xf numFmtId="41" fontId="52" fillId="3" borderId="15" xfId="27" applyFont="1" applyFill="1" applyBorder="1" applyAlignment="1">
      <alignment horizontal="center" vertical="center"/>
    </xf>
    <xf numFmtId="187" fontId="52" fillId="3" borderId="15" xfId="0" applyNumberFormat="1" applyFont="1" applyFill="1" applyBorder="1" applyAlignment="1">
      <alignment horizontal="center" vertical="center" shrinkToFit="1"/>
    </xf>
    <xf numFmtId="41" fontId="52" fillId="3" borderId="56" xfId="2" applyFont="1" applyFill="1" applyBorder="1" applyAlignment="1">
      <alignment horizontal="right" vertical="center" wrapText="1"/>
    </xf>
    <xf numFmtId="0" fontId="52" fillId="3" borderId="15" xfId="0" quotePrefix="1" applyFont="1" applyFill="1" applyBorder="1" applyAlignment="1">
      <alignment horizontal="center" vertical="center"/>
    </xf>
    <xf numFmtId="179" fontId="52" fillId="3" borderId="15" xfId="0" quotePrefix="1" applyNumberFormat="1" applyFont="1" applyFill="1" applyBorder="1" applyAlignment="1">
      <alignment horizontal="center" vertical="center" wrapText="1"/>
    </xf>
    <xf numFmtId="179" fontId="52" fillId="3" borderId="15" xfId="0" applyNumberFormat="1" applyFont="1" applyFill="1" applyBorder="1" applyAlignment="1">
      <alignment horizontal="center" vertical="center" wrapText="1" shrinkToFit="1"/>
    </xf>
    <xf numFmtId="14" fontId="52" fillId="3" borderId="15" xfId="0" applyNumberFormat="1" applyFont="1" applyFill="1" applyBorder="1" applyAlignment="1">
      <alignment horizontal="center" vertical="center" shrinkToFit="1"/>
    </xf>
    <xf numFmtId="14" fontId="52" fillId="3" borderId="15" xfId="0" applyNumberFormat="1" applyFont="1" applyFill="1" applyBorder="1" applyAlignment="1">
      <alignment horizontal="center" vertical="center"/>
    </xf>
    <xf numFmtId="0" fontId="52" fillId="3" borderId="45" xfId="0" applyFont="1" applyFill="1" applyBorder="1" applyAlignment="1">
      <alignment horizontal="center" vertical="center" wrapText="1"/>
    </xf>
    <xf numFmtId="0" fontId="52" fillId="3" borderId="49" xfId="0" applyFont="1" applyFill="1" applyBorder="1" applyAlignment="1">
      <alignment horizontal="center" vertical="center" wrapText="1"/>
    </xf>
    <xf numFmtId="41" fontId="52" fillId="3" borderId="56" xfId="0" applyNumberFormat="1" applyFont="1" applyFill="1" applyBorder="1" applyAlignment="1">
      <alignment horizontal="right" vertical="center" wrapText="1"/>
    </xf>
    <xf numFmtId="9" fontId="52" fillId="3" borderId="15" xfId="0" applyNumberFormat="1" applyFont="1" applyFill="1" applyBorder="1" applyAlignment="1">
      <alignment horizontal="center" vertical="center"/>
    </xf>
    <xf numFmtId="0" fontId="52" fillId="3" borderId="15" xfId="0" applyFont="1" applyFill="1" applyBorder="1" applyAlignment="1">
      <alignment horizontal="right" vertical="center" shrinkToFit="1"/>
    </xf>
    <xf numFmtId="185" fontId="5" fillId="3" borderId="15" xfId="0" applyNumberFormat="1" applyFont="1" applyFill="1" applyBorder="1" applyAlignment="1">
      <alignment horizontal="center" vertical="center" shrinkToFit="1"/>
    </xf>
    <xf numFmtId="187" fontId="52" fillId="3" borderId="15" xfId="0" applyNumberFormat="1" applyFont="1" applyFill="1" applyBorder="1" applyAlignment="1">
      <alignment horizontal="center" vertical="center" wrapText="1" shrinkToFit="1"/>
    </xf>
    <xf numFmtId="187" fontId="52" fillId="3" borderId="15" xfId="0" applyNumberFormat="1" applyFont="1" applyFill="1" applyBorder="1" applyAlignment="1">
      <alignment horizontal="center" vertical="center"/>
    </xf>
    <xf numFmtId="41" fontId="52" fillId="3" borderId="15" xfId="412" applyFont="1" applyFill="1" applyBorder="1" applyAlignment="1">
      <alignment horizontal="center" vertical="center"/>
    </xf>
    <xf numFmtId="10" fontId="52" fillId="3" borderId="15" xfId="0" applyNumberFormat="1" applyFont="1" applyFill="1" applyBorder="1" applyAlignment="1">
      <alignment horizontal="center" vertical="center" shrinkToFit="1"/>
    </xf>
    <xf numFmtId="0" fontId="52" fillId="3" borderId="16" xfId="0" applyFont="1" applyFill="1" applyBorder="1" applyAlignment="1">
      <alignment horizontal="center" vertical="center"/>
    </xf>
    <xf numFmtId="0" fontId="52" fillId="3" borderId="16" xfId="0" applyFont="1" applyFill="1" applyBorder="1" applyAlignment="1">
      <alignment horizontal="center" vertical="center" shrinkToFit="1"/>
    </xf>
    <xf numFmtId="41" fontId="52" fillId="3" borderId="16" xfId="0" applyNumberFormat="1" applyFont="1" applyFill="1" applyBorder="1" applyAlignment="1">
      <alignment horizontal="center" vertical="center"/>
    </xf>
    <xf numFmtId="41" fontId="52" fillId="3" borderId="16" xfId="2" applyFont="1" applyFill="1" applyBorder="1" applyAlignment="1">
      <alignment horizontal="center" vertical="center"/>
    </xf>
    <xf numFmtId="9" fontId="52" fillId="3" borderId="16" xfId="0" applyNumberFormat="1" applyFont="1" applyFill="1" applyBorder="1" applyAlignment="1">
      <alignment horizontal="center" vertical="center" shrinkToFit="1"/>
    </xf>
    <xf numFmtId="178" fontId="52" fillId="3" borderId="16" xfId="0" applyNumberFormat="1" applyFont="1" applyFill="1" applyBorder="1" applyAlignment="1">
      <alignment horizontal="center" vertical="center"/>
    </xf>
    <xf numFmtId="179" fontId="52" fillId="3" borderId="16" xfId="0" applyNumberFormat="1" applyFont="1" applyFill="1" applyBorder="1" applyAlignment="1">
      <alignment horizontal="center" vertical="center" shrinkToFit="1"/>
    </xf>
    <xf numFmtId="179" fontId="5" fillId="3" borderId="16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52" fillId="3" borderId="5" xfId="0" applyFont="1" applyFill="1" applyBorder="1" applyAlignment="1">
      <alignment horizontal="center" vertical="center" shrinkToFit="1"/>
    </xf>
    <xf numFmtId="41" fontId="52" fillId="3" borderId="5" xfId="0" applyNumberFormat="1" applyFont="1" applyFill="1" applyBorder="1" applyAlignment="1">
      <alignment horizontal="center" vertical="center"/>
    </xf>
    <xf numFmtId="0" fontId="52" fillId="3" borderId="5" xfId="0" applyFont="1" applyFill="1" applyBorder="1" applyAlignment="1">
      <alignment horizontal="center" vertical="center"/>
    </xf>
    <xf numFmtId="41" fontId="52" fillId="3" borderId="5" xfId="2" applyFont="1" applyFill="1" applyBorder="1" applyAlignment="1">
      <alignment horizontal="center" vertical="center"/>
    </xf>
    <xf numFmtId="9" fontId="52" fillId="3" borderId="5" xfId="0" applyNumberFormat="1" applyFont="1" applyFill="1" applyBorder="1" applyAlignment="1">
      <alignment horizontal="center" vertical="center" shrinkToFit="1"/>
    </xf>
    <xf numFmtId="10" fontId="52" fillId="3" borderId="5" xfId="0" applyNumberFormat="1" applyFont="1" applyFill="1" applyBorder="1" applyAlignment="1">
      <alignment horizontal="center" vertical="center" shrinkToFit="1"/>
    </xf>
    <xf numFmtId="178" fontId="52" fillId="3" borderId="5" xfId="0" applyNumberFormat="1" applyFont="1" applyFill="1" applyBorder="1" applyAlignment="1">
      <alignment horizontal="center" vertical="center"/>
    </xf>
    <xf numFmtId="179" fontId="52" fillId="3" borderId="5" xfId="0" applyNumberFormat="1" applyFont="1" applyFill="1" applyBorder="1" applyAlignment="1">
      <alignment horizontal="center" vertical="center" shrinkToFit="1"/>
    </xf>
    <xf numFmtId="179" fontId="52" fillId="3" borderId="5" xfId="0" applyNumberFormat="1" applyFont="1" applyFill="1" applyBorder="1" applyAlignment="1">
      <alignment horizontal="center" vertical="center"/>
    </xf>
    <xf numFmtId="179" fontId="5" fillId="3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179" fontId="52" fillId="3" borderId="5" xfId="0" quotePrefix="1" applyNumberFormat="1" applyFont="1" applyFill="1" applyBorder="1" applyAlignment="1">
      <alignment horizontal="center" vertical="center"/>
    </xf>
    <xf numFmtId="189" fontId="52" fillId="3" borderId="15" xfId="0" applyNumberFormat="1" applyFont="1" applyFill="1" applyBorder="1" applyAlignment="1">
      <alignment horizontal="center" vertical="center"/>
    </xf>
    <xf numFmtId="0" fontId="59" fillId="3" borderId="15" xfId="0" applyFont="1" applyFill="1" applyBorder="1" applyAlignment="1">
      <alignment horizontal="center" vertical="center"/>
    </xf>
    <xf numFmtId="0" fontId="68" fillId="3" borderId="15" xfId="413" applyFont="1" applyFill="1" applyBorder="1" applyAlignment="1">
      <alignment horizontal="center" vertical="center" wrapText="1"/>
    </xf>
    <xf numFmtId="183" fontId="40" fillId="6" borderId="15" xfId="0" applyNumberFormat="1" applyFont="1" applyFill="1" applyBorder="1" applyAlignment="1">
      <alignment horizontal="center" vertical="center" shrinkToFit="1"/>
    </xf>
    <xf numFmtId="41" fontId="52" fillId="0" borderId="15" xfId="0" applyNumberFormat="1" applyFont="1" applyFill="1" applyBorder="1" applyAlignment="1">
      <alignment horizontal="center" vertical="center"/>
    </xf>
    <xf numFmtId="0" fontId="52" fillId="0" borderId="15" xfId="0" applyFont="1" applyFill="1" applyBorder="1" applyAlignment="1">
      <alignment horizontal="right" vertical="center"/>
    </xf>
    <xf numFmtId="41" fontId="52" fillId="0" borderId="15" xfId="2" applyFont="1" applyFill="1" applyBorder="1" applyAlignment="1">
      <alignment horizontal="center" vertical="center"/>
    </xf>
    <xf numFmtId="9" fontId="52" fillId="0" borderId="15" xfId="0" applyNumberFormat="1" applyFont="1" applyFill="1" applyBorder="1" applyAlignment="1">
      <alignment horizontal="center" vertical="center" shrinkToFit="1"/>
    </xf>
    <xf numFmtId="178" fontId="52" fillId="0" borderId="15" xfId="0" applyNumberFormat="1" applyFont="1" applyFill="1" applyBorder="1" applyAlignment="1">
      <alignment horizontal="center" vertical="center"/>
    </xf>
    <xf numFmtId="179" fontId="52" fillId="0" borderId="15" xfId="0" applyNumberFormat="1" applyFont="1" applyFill="1" applyBorder="1" applyAlignment="1">
      <alignment horizontal="center" vertical="center" shrinkToFit="1"/>
    </xf>
    <xf numFmtId="179" fontId="52" fillId="0" borderId="15" xfId="0" applyNumberFormat="1" applyFont="1" applyFill="1" applyBorder="1" applyAlignment="1">
      <alignment horizontal="center" vertical="center"/>
    </xf>
    <xf numFmtId="179" fontId="9" fillId="0" borderId="15" xfId="0" applyNumberFormat="1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179" fontId="52" fillId="0" borderId="15" xfId="0" quotePrefix="1" applyNumberFormat="1" applyFont="1" applyFill="1" applyBorder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179" fontId="5" fillId="0" borderId="15" xfId="0" applyNumberFormat="1" applyFont="1" applyFill="1" applyBorder="1" applyAlignment="1">
      <alignment horizontal="center" vertical="center"/>
    </xf>
    <xf numFmtId="179" fontId="29" fillId="0" borderId="15" xfId="0" applyNumberFormat="1" applyFont="1" applyFill="1" applyBorder="1" applyAlignment="1">
      <alignment horizontal="center" vertical="center" shrinkToFit="1"/>
    </xf>
    <xf numFmtId="41" fontId="52" fillId="0" borderId="15" xfId="0" applyNumberFormat="1" applyFont="1" applyFill="1" applyBorder="1" applyAlignment="1">
      <alignment horizontal="center" vertical="center" shrinkToFit="1"/>
    </xf>
    <xf numFmtId="179" fontId="29" fillId="0" borderId="15" xfId="0" applyNumberFormat="1" applyFont="1" applyFill="1" applyBorder="1" applyAlignment="1">
      <alignment horizontal="center" vertical="center"/>
    </xf>
    <xf numFmtId="180" fontId="52" fillId="0" borderId="15" xfId="0" applyNumberFormat="1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 shrinkToFit="1"/>
    </xf>
    <xf numFmtId="0" fontId="29" fillId="0" borderId="15" xfId="0" applyFont="1" applyFill="1" applyBorder="1" applyAlignment="1">
      <alignment horizontal="left" vertical="center" shrinkToFit="1"/>
    </xf>
    <xf numFmtId="41" fontId="29" fillId="0" borderId="15" xfId="0" applyNumberFormat="1" applyFont="1" applyFill="1" applyBorder="1" applyAlignment="1">
      <alignment horizontal="right" vertical="center"/>
    </xf>
    <xf numFmtId="0" fontId="29" fillId="0" borderId="15" xfId="0" applyFont="1" applyFill="1" applyBorder="1" applyAlignment="1">
      <alignment horizontal="center" vertical="center"/>
    </xf>
    <xf numFmtId="41" fontId="29" fillId="0" borderId="15" xfId="0" applyNumberFormat="1" applyFont="1" applyFill="1" applyBorder="1" applyAlignment="1">
      <alignment vertical="center"/>
    </xf>
    <xf numFmtId="41" fontId="29" fillId="0" borderId="15" xfId="0" applyNumberFormat="1" applyFont="1" applyFill="1" applyBorder="1" applyAlignment="1">
      <alignment vertical="center" shrinkToFit="1"/>
    </xf>
    <xf numFmtId="9" fontId="29" fillId="0" borderId="15" xfId="0" applyNumberFormat="1" applyFont="1" applyFill="1" applyBorder="1" applyAlignment="1">
      <alignment horizontal="center" vertical="center" shrinkToFit="1"/>
    </xf>
    <xf numFmtId="180" fontId="29" fillId="0" borderId="15" xfId="0" applyNumberFormat="1" applyFont="1" applyFill="1" applyBorder="1" applyAlignment="1">
      <alignment horizontal="center" vertical="center"/>
    </xf>
    <xf numFmtId="180" fontId="52" fillId="0" borderId="15" xfId="0" applyNumberFormat="1" applyFont="1" applyFill="1" applyBorder="1" applyAlignment="1">
      <alignment horizontal="center" vertical="center" shrinkToFit="1"/>
    </xf>
    <xf numFmtId="41" fontId="52" fillId="0" borderId="15" xfId="2" applyFont="1" applyFill="1" applyBorder="1" applyAlignment="1">
      <alignment vertical="center"/>
    </xf>
    <xf numFmtId="41" fontId="52" fillId="0" borderId="15" xfId="410" applyFont="1" applyFill="1" applyBorder="1" applyAlignment="1">
      <alignment horizontal="center" vertical="center"/>
    </xf>
    <xf numFmtId="0" fontId="52" fillId="0" borderId="15" xfId="0" applyFont="1" applyFill="1" applyBorder="1" applyAlignment="1">
      <alignment horizontal="center" vertical="center" wrapText="1"/>
    </xf>
    <xf numFmtId="49" fontId="52" fillId="0" borderId="15" xfId="0" applyNumberFormat="1" applyFont="1" applyFill="1" applyBorder="1" applyAlignment="1">
      <alignment horizontal="center" vertical="center" shrinkToFit="1"/>
    </xf>
    <xf numFmtId="178" fontId="52" fillId="0" borderId="15" xfId="0" applyNumberFormat="1" applyFont="1" applyFill="1" applyBorder="1" applyAlignment="1">
      <alignment horizontal="center" vertical="center" shrinkToFit="1"/>
    </xf>
    <xf numFmtId="179" fontId="52" fillId="0" borderId="15" xfId="0" quotePrefix="1" applyNumberFormat="1" applyFont="1" applyFill="1" applyBorder="1" applyAlignment="1">
      <alignment horizontal="center" vertical="center" shrinkToFit="1"/>
    </xf>
    <xf numFmtId="179" fontId="52" fillId="0" borderId="15" xfId="0" applyNumberFormat="1" applyFont="1" applyFill="1" applyBorder="1" applyAlignment="1">
      <alignment vertical="center"/>
    </xf>
    <xf numFmtId="41" fontId="52" fillId="0" borderId="15" xfId="0" applyNumberFormat="1" applyFont="1" applyFill="1" applyBorder="1" applyAlignment="1">
      <alignment vertical="center"/>
    </xf>
    <xf numFmtId="41" fontId="52" fillId="0" borderId="15" xfId="0" applyNumberFormat="1" applyFont="1" applyFill="1" applyBorder="1" applyAlignment="1">
      <alignment vertical="center" shrinkToFit="1"/>
    </xf>
    <xf numFmtId="179" fontId="52" fillId="0" borderId="15" xfId="0" quotePrefix="1" applyNumberFormat="1" applyFont="1" applyFill="1" applyBorder="1" applyAlignment="1">
      <alignment vertical="center"/>
    </xf>
    <xf numFmtId="188" fontId="52" fillId="0" borderId="15" xfId="0" applyNumberFormat="1" applyFont="1" applyFill="1" applyBorder="1" applyAlignment="1">
      <alignment horizontal="center" vertical="center"/>
    </xf>
    <xf numFmtId="181" fontId="5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52" fillId="0" borderId="15" xfId="0" quotePrefix="1" applyFont="1" applyFill="1" applyBorder="1" applyAlignment="1">
      <alignment horizontal="center" vertical="center" shrinkToFit="1"/>
    </xf>
    <xf numFmtId="179" fontId="52" fillId="0" borderId="15" xfId="0" applyNumberFormat="1" applyFont="1" applyFill="1" applyBorder="1" applyAlignment="1">
      <alignment horizontal="center"/>
    </xf>
    <xf numFmtId="41" fontId="52" fillId="0" borderId="15" xfId="411" applyFont="1" applyFill="1" applyBorder="1" applyAlignment="1">
      <alignment horizontal="center" vertical="center"/>
    </xf>
    <xf numFmtId="181" fontId="52" fillId="0" borderId="15" xfId="0" applyNumberFormat="1" applyFont="1" applyFill="1" applyBorder="1" applyAlignment="1">
      <alignment horizontal="center" vertical="center"/>
    </xf>
    <xf numFmtId="41" fontId="52" fillId="0" borderId="15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179" fontId="52" fillId="0" borderId="16" xfId="0" applyNumberFormat="1" applyFont="1" applyFill="1" applyBorder="1" applyAlignment="1">
      <alignment horizontal="center" vertical="center"/>
    </xf>
    <xf numFmtId="186" fontId="52" fillId="0" borderId="15" xfId="0" applyNumberFormat="1" applyFont="1" applyFill="1" applyBorder="1" applyAlignment="1">
      <alignment horizontal="center" vertical="center"/>
    </xf>
    <xf numFmtId="179" fontId="52" fillId="0" borderId="15" xfId="0" applyNumberFormat="1" applyFont="1" applyFill="1" applyBorder="1" applyAlignment="1">
      <alignment horizontal="center" vertical="center" wrapText="1"/>
    </xf>
    <xf numFmtId="0" fontId="66" fillId="0" borderId="15" xfId="0" applyFont="1" applyFill="1" applyBorder="1" applyAlignment="1">
      <alignment horizontal="center" vertical="center"/>
    </xf>
    <xf numFmtId="0" fontId="67" fillId="0" borderId="15" xfId="0" applyFont="1" applyFill="1" applyBorder="1" applyAlignment="1">
      <alignment horizontal="center" vertical="center"/>
    </xf>
    <xf numFmtId="176" fontId="52" fillId="0" borderId="15" xfId="0" applyNumberFormat="1" applyFont="1" applyFill="1" applyBorder="1" applyAlignment="1">
      <alignment horizontal="center" vertical="center"/>
    </xf>
    <xf numFmtId="0" fontId="60" fillId="0" borderId="15" xfId="0" applyFont="1" applyFill="1" applyBorder="1" applyAlignment="1">
      <alignment horizontal="center" vertical="center"/>
    </xf>
    <xf numFmtId="179" fontId="58" fillId="0" borderId="15" xfId="0" quotePrefix="1" applyNumberFormat="1" applyFont="1" applyFill="1" applyBorder="1" applyAlignment="1">
      <alignment horizontal="center" vertical="center"/>
    </xf>
    <xf numFmtId="0" fontId="52" fillId="0" borderId="15" xfId="0" applyFont="1" applyFill="1" applyBorder="1" applyAlignment="1">
      <alignment horizontal="center" vertical="center" wrapText="1" shrinkToFit="1"/>
    </xf>
    <xf numFmtId="0" fontId="65" fillId="0" borderId="0" xfId="0" applyFont="1" applyFill="1" applyAlignment="1">
      <alignment vertical="center"/>
    </xf>
    <xf numFmtId="41" fontId="58" fillId="0" borderId="15" xfId="0" applyNumberFormat="1" applyFont="1" applyFill="1" applyBorder="1" applyAlignment="1">
      <alignment horizontal="center" vertical="center" shrinkToFit="1"/>
    </xf>
    <xf numFmtId="41" fontId="58" fillId="0" borderId="15" xfId="0" applyNumberFormat="1" applyFont="1" applyFill="1" applyBorder="1" applyAlignment="1">
      <alignment horizontal="center" vertical="center"/>
    </xf>
    <xf numFmtId="179" fontId="52" fillId="3" borderId="17" xfId="0" applyNumberFormat="1" applyFont="1" applyFill="1" applyBorder="1" applyAlignment="1">
      <alignment horizontal="center" vertical="center"/>
    </xf>
    <xf numFmtId="185" fontId="5" fillId="3" borderId="17" xfId="0" applyNumberFormat="1" applyFont="1" applyFill="1" applyBorder="1" applyAlignment="1">
      <alignment horizontal="center" vertical="center" shrinkToFit="1"/>
    </xf>
    <xf numFmtId="179" fontId="52" fillId="0" borderId="17" xfId="0" applyNumberFormat="1" applyFont="1" applyFill="1" applyBorder="1" applyAlignment="1">
      <alignment horizontal="center" vertical="center"/>
    </xf>
    <xf numFmtId="179" fontId="29" fillId="0" borderId="17" xfId="0" applyNumberFormat="1" applyFont="1" applyFill="1" applyBorder="1" applyAlignment="1">
      <alignment horizontal="center" vertical="center"/>
    </xf>
    <xf numFmtId="179" fontId="52" fillId="0" borderId="17" xfId="0" applyNumberFormat="1" applyFont="1" applyFill="1" applyBorder="1" applyAlignment="1">
      <alignment horizontal="center" vertical="center" shrinkToFit="1"/>
    </xf>
    <xf numFmtId="179" fontId="52" fillId="0" borderId="17" xfId="0" applyNumberFormat="1" applyFont="1" applyFill="1" applyBorder="1" applyAlignment="1">
      <alignment horizontal="center"/>
    </xf>
    <xf numFmtId="179" fontId="52" fillId="0" borderId="17" xfId="0" quotePrefix="1" applyNumberFormat="1" applyFont="1" applyFill="1" applyBorder="1" applyAlignment="1">
      <alignment horizontal="center" vertical="center"/>
    </xf>
    <xf numFmtId="179" fontId="52" fillId="3" borderId="17" xfId="0" quotePrefix="1" applyNumberFormat="1" applyFont="1" applyFill="1" applyBorder="1" applyAlignment="1">
      <alignment horizontal="center" vertical="center"/>
    </xf>
    <xf numFmtId="179" fontId="52" fillId="3" borderId="17" xfId="0" applyNumberFormat="1" applyFont="1" applyFill="1" applyBorder="1" applyAlignment="1">
      <alignment horizontal="center" vertical="center" shrinkToFit="1"/>
    </xf>
    <xf numFmtId="179" fontId="52" fillId="3" borderId="17" xfId="0" applyNumberFormat="1" applyFont="1" applyFill="1" applyBorder="1" applyAlignment="1">
      <alignment horizontal="center"/>
    </xf>
    <xf numFmtId="0" fontId="52" fillId="3" borderId="17" xfId="0" applyFont="1" applyFill="1" applyBorder="1" applyAlignment="1">
      <alignment horizontal="center" vertical="center"/>
    </xf>
    <xf numFmtId="179" fontId="52" fillId="3" borderId="17" xfId="0" quotePrefix="1" applyNumberFormat="1" applyFont="1" applyFill="1" applyBorder="1" applyAlignment="1">
      <alignment horizontal="center" vertical="center" shrinkToFit="1"/>
    </xf>
    <xf numFmtId="179" fontId="52" fillId="3" borderId="41" xfId="0" applyNumberFormat="1" applyFont="1" applyFill="1" applyBorder="1" applyAlignment="1">
      <alignment horizontal="center" vertical="center"/>
    </xf>
    <xf numFmtId="179" fontId="52" fillId="3" borderId="17" xfId="0" quotePrefix="1" applyNumberFormat="1" applyFont="1" applyFill="1" applyBorder="1" applyAlignment="1">
      <alignment horizontal="center" vertical="center" wrapText="1"/>
    </xf>
    <xf numFmtId="179" fontId="52" fillId="3" borderId="9" xfId="0" quotePrefix="1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0" fillId="0" borderId="5" xfId="0" applyBorder="1" applyAlignment="1"/>
    <xf numFmtId="0" fontId="0" fillId="0" borderId="18" xfId="0" applyBorder="1" applyAlignment="1"/>
    <xf numFmtId="0" fontId="0" fillId="0" borderId="44" xfId="0" applyBorder="1" applyAlignment="1"/>
    <xf numFmtId="0" fontId="10" fillId="4" borderId="6" xfId="0" applyFont="1" applyFill="1" applyBorder="1" applyAlignment="1">
      <alignment horizontal="center" vertical="center" wrapText="1"/>
    </xf>
    <xf numFmtId="0" fontId="0" fillId="0" borderId="43" xfId="0" applyBorder="1" applyAlignment="1"/>
    <xf numFmtId="0" fontId="0" fillId="0" borderId="19" xfId="0" applyBorder="1" applyAlignment="1"/>
    <xf numFmtId="0" fontId="15" fillId="4" borderId="62" xfId="0" applyFont="1" applyFill="1" applyBorder="1" applyAlignment="1">
      <alignment horizontal="center" vertical="center"/>
    </xf>
    <xf numFmtId="0" fontId="0" fillId="0" borderId="52" xfId="0" applyBorder="1" applyAlignment="1"/>
    <xf numFmtId="0" fontId="0" fillId="0" borderId="53" xfId="0" applyBorder="1" applyAlignment="1"/>
    <xf numFmtId="0" fontId="15" fillId="4" borderId="8" xfId="0" applyFont="1" applyFill="1" applyBorder="1" applyAlignment="1">
      <alignment horizontal="center" vertical="center"/>
    </xf>
    <xf numFmtId="0" fontId="0" fillId="0" borderId="63" xfId="0" applyBorder="1" applyAlignment="1"/>
    <xf numFmtId="0" fontId="24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vertical="center"/>
    </xf>
    <xf numFmtId="0" fontId="13" fillId="4" borderId="10" xfId="0" applyFont="1" applyFill="1" applyBorder="1" applyAlignment="1">
      <alignment horizontal="center" vertical="center" wrapText="1"/>
    </xf>
    <xf numFmtId="0" fontId="0" fillId="0" borderId="57" xfId="0" applyBorder="1" applyAlignment="1"/>
    <xf numFmtId="0" fontId="0" fillId="0" borderId="64" xfId="0" applyBorder="1" applyAlignment="1"/>
    <xf numFmtId="0" fontId="13" fillId="6" borderId="62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40" fillId="5" borderId="15" xfId="0" applyFont="1" applyFill="1" applyBorder="1" applyAlignment="1">
      <alignment horizontal="center" vertical="center" shrinkToFit="1"/>
    </xf>
    <xf numFmtId="0" fontId="0" fillId="0" borderId="42" xfId="0" applyBorder="1" applyAlignment="1"/>
    <xf numFmtId="0" fontId="40" fillId="5" borderId="15" xfId="0" applyFont="1" applyFill="1" applyBorder="1" applyAlignment="1">
      <alignment horizontal="center" vertical="center" wrapText="1"/>
    </xf>
    <xf numFmtId="0" fontId="0" fillId="5" borderId="5" xfId="0" applyFill="1" applyBorder="1" applyAlignment="1"/>
    <xf numFmtId="0" fontId="40" fillId="5" borderId="15" xfId="0" applyFont="1" applyFill="1" applyBorder="1" applyAlignment="1">
      <alignment horizontal="center" vertical="center" wrapText="1" shrinkToFit="1"/>
    </xf>
    <xf numFmtId="0" fontId="0" fillId="5" borderId="42" xfId="0" applyFill="1" applyBorder="1" applyAlignment="1"/>
    <xf numFmtId="14" fontId="40" fillId="5" borderId="15" xfId="0" applyNumberFormat="1" applyFont="1" applyFill="1" applyBorder="1" applyAlignment="1">
      <alignment horizontal="center" vertical="center" wrapText="1" shrinkToFit="1"/>
    </xf>
    <xf numFmtId="179" fontId="40" fillId="5" borderId="15" xfId="0" applyNumberFormat="1" applyFont="1" applyFill="1" applyBorder="1" applyAlignment="1">
      <alignment horizontal="center" vertical="center" wrapText="1"/>
    </xf>
    <xf numFmtId="0" fontId="0" fillId="5" borderId="19" xfId="0" applyFill="1" applyBorder="1" applyAlignment="1"/>
    <xf numFmtId="180" fontId="40" fillId="5" borderId="15" xfId="0" applyNumberFormat="1" applyFont="1" applyFill="1" applyBorder="1" applyAlignment="1">
      <alignment horizontal="center" vertical="center" wrapText="1"/>
    </xf>
    <xf numFmtId="0" fontId="0" fillId="5" borderId="18" xfId="0" applyFill="1" applyBorder="1" applyAlignment="1"/>
    <xf numFmtId="41" fontId="40" fillId="5" borderId="15" xfId="2" applyFont="1" applyFill="1" applyBorder="1" applyAlignment="1">
      <alignment horizontal="center" vertical="center" wrapText="1"/>
    </xf>
    <xf numFmtId="178" fontId="40" fillId="5" borderId="15" xfId="0" applyNumberFormat="1" applyFont="1" applyFill="1" applyBorder="1" applyAlignment="1">
      <alignment horizontal="center" vertical="center" wrapText="1"/>
    </xf>
    <xf numFmtId="178" fontId="40" fillId="5" borderId="15" xfId="0" applyNumberFormat="1" applyFont="1" applyFill="1" applyBorder="1" applyAlignment="1">
      <alignment horizontal="center" vertical="center" wrapText="1" shrinkToFit="1"/>
    </xf>
    <xf numFmtId="0" fontId="33" fillId="0" borderId="45" xfId="0" applyFont="1" applyBorder="1" applyAlignment="1">
      <alignment horizontal="center" vertical="center" wrapText="1"/>
    </xf>
    <xf numFmtId="0" fontId="0" fillId="0" borderId="47" xfId="0" applyBorder="1" applyAlignment="1"/>
    <xf numFmtId="0" fontId="35" fillId="0" borderId="45" xfId="0" applyFont="1" applyBorder="1" applyAlignment="1">
      <alignment horizontal="center" vertical="center" wrapText="1"/>
    </xf>
    <xf numFmtId="0" fontId="0" fillId="0" borderId="50" xfId="0" applyBorder="1" applyAlignment="1"/>
    <xf numFmtId="0" fontId="36" fillId="0" borderId="45" xfId="0" applyFont="1" applyBorder="1" applyAlignment="1">
      <alignment horizontal="center" vertical="center" wrapText="1"/>
    </xf>
    <xf numFmtId="0" fontId="0" fillId="0" borderId="49" xfId="0" applyBorder="1" applyAlignment="1"/>
    <xf numFmtId="0" fontId="0" fillId="0" borderId="48" xfId="0" applyBorder="1" applyAlignment="1"/>
    <xf numFmtId="0" fontId="45" fillId="0" borderId="45" xfId="0" applyFont="1" applyBorder="1" applyAlignment="1">
      <alignment horizontal="center" vertical="center" wrapText="1"/>
    </xf>
    <xf numFmtId="0" fontId="44" fillId="0" borderId="45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47" fillId="0" borderId="45" xfId="0" applyFont="1" applyBorder="1" applyAlignment="1">
      <alignment horizontal="center" vertical="center" wrapText="1"/>
    </xf>
    <xf numFmtId="0" fontId="46" fillId="0" borderId="45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</cellXfs>
  <cellStyles count="825">
    <cellStyle name="쉼표 [0]" xfId="2" builtinId="6"/>
    <cellStyle name="쉼표 [0] 10" xfId="28" xr:uid="{00000000-0005-0000-0000-00001C000000}"/>
    <cellStyle name="쉼표 [0] 10 2" xfId="62" xr:uid="{00000000-0005-0000-0000-00003E000000}"/>
    <cellStyle name="쉼표 [0] 10 2 2" xfId="164" xr:uid="{00000000-0005-0000-0000-0000A4000000}"/>
    <cellStyle name="쉼표 [0] 10 2 2 2" xfId="576" xr:uid="{00000000-0005-0000-0000-000040020000}"/>
    <cellStyle name="쉼표 [0] 10 2 2 3" xfId="411" xr:uid="{00000000-0005-0000-0000-00009B010000}"/>
    <cellStyle name="쉼표 [0] 10 2 2 3 2" xfId="823" xr:uid="{00000000-0005-0000-0000-000037030000}"/>
    <cellStyle name="쉼표 [0] 10 2 3" xfId="266" xr:uid="{00000000-0005-0000-0000-00000A010000}"/>
    <cellStyle name="쉼표 [0] 10 2 3 2" xfId="678" xr:uid="{00000000-0005-0000-0000-0000A6020000}"/>
    <cellStyle name="쉼표 [0] 10 2 4" xfId="368" xr:uid="{00000000-0005-0000-0000-000070010000}"/>
    <cellStyle name="쉼표 [0] 10 2 4 2" xfId="780" xr:uid="{00000000-0005-0000-0000-00000C030000}"/>
    <cellStyle name="쉼표 [0] 10 2 5" xfId="474" xr:uid="{00000000-0005-0000-0000-0000DA010000}"/>
    <cellStyle name="쉼표 [0] 10 3" xfId="96" xr:uid="{00000000-0005-0000-0000-000060000000}"/>
    <cellStyle name="쉼표 [0] 10 3 2" xfId="198" xr:uid="{00000000-0005-0000-0000-0000C6000000}"/>
    <cellStyle name="쉼표 [0] 10 3 2 2" xfId="610" xr:uid="{00000000-0005-0000-0000-000062020000}"/>
    <cellStyle name="쉼표 [0] 10 3 3" xfId="300" xr:uid="{00000000-0005-0000-0000-00002C010000}"/>
    <cellStyle name="쉼표 [0] 10 3 3 2" xfId="712" xr:uid="{00000000-0005-0000-0000-0000C8020000}"/>
    <cellStyle name="쉼표 [0] 10 3 4" xfId="402" xr:uid="{00000000-0005-0000-0000-000092010000}"/>
    <cellStyle name="쉼표 [0] 10 3 4 2" xfId="814" xr:uid="{00000000-0005-0000-0000-00002E030000}"/>
    <cellStyle name="쉼표 [0] 10 3 5" xfId="508" xr:uid="{00000000-0005-0000-0000-0000FC010000}"/>
    <cellStyle name="쉼표 [0] 10 4" xfId="130" xr:uid="{00000000-0005-0000-0000-000082000000}"/>
    <cellStyle name="쉼표 [0] 10 4 2" xfId="542" xr:uid="{00000000-0005-0000-0000-00001E020000}"/>
    <cellStyle name="쉼표 [0] 10 5" xfId="232" xr:uid="{00000000-0005-0000-0000-0000E8000000}"/>
    <cellStyle name="쉼표 [0] 10 5 2" xfId="644" xr:uid="{00000000-0005-0000-0000-000084020000}"/>
    <cellStyle name="쉼표 [0] 10 6" xfId="334" xr:uid="{00000000-0005-0000-0000-00004E010000}"/>
    <cellStyle name="쉼표 [0] 10 6 2" xfId="746" xr:uid="{00000000-0005-0000-0000-0000EA020000}"/>
    <cellStyle name="쉼표 [0] 10 7" xfId="440" xr:uid="{00000000-0005-0000-0000-0000B8010000}"/>
    <cellStyle name="쉼표 [0] 11" xfId="32" xr:uid="{00000000-0005-0000-0000-000020000000}"/>
    <cellStyle name="쉼표 [0] 11 2" xfId="66" xr:uid="{00000000-0005-0000-0000-000042000000}"/>
    <cellStyle name="쉼표 [0] 11 2 2" xfId="168" xr:uid="{00000000-0005-0000-0000-0000A8000000}"/>
    <cellStyle name="쉼표 [0] 11 2 2 2" xfId="580" xr:uid="{00000000-0005-0000-0000-000044020000}"/>
    <cellStyle name="쉼표 [0] 11 2 3" xfId="270" xr:uid="{00000000-0005-0000-0000-00000E010000}"/>
    <cellStyle name="쉼표 [0] 11 2 3 2" xfId="682" xr:uid="{00000000-0005-0000-0000-0000AA020000}"/>
    <cellStyle name="쉼표 [0] 11 2 4" xfId="372" xr:uid="{00000000-0005-0000-0000-000074010000}"/>
    <cellStyle name="쉼표 [0] 11 2 4 2" xfId="784" xr:uid="{00000000-0005-0000-0000-000010030000}"/>
    <cellStyle name="쉼표 [0] 11 2 5" xfId="478" xr:uid="{00000000-0005-0000-0000-0000DE010000}"/>
    <cellStyle name="쉼표 [0] 11 3" xfId="100" xr:uid="{00000000-0005-0000-0000-000064000000}"/>
    <cellStyle name="쉼표 [0] 11 3 2" xfId="202" xr:uid="{00000000-0005-0000-0000-0000CA000000}"/>
    <cellStyle name="쉼표 [0] 11 3 2 2" xfId="614" xr:uid="{00000000-0005-0000-0000-000066020000}"/>
    <cellStyle name="쉼표 [0] 11 3 3" xfId="304" xr:uid="{00000000-0005-0000-0000-000030010000}"/>
    <cellStyle name="쉼표 [0] 11 3 3 2" xfId="716" xr:uid="{00000000-0005-0000-0000-0000CC020000}"/>
    <cellStyle name="쉼표 [0] 11 3 4" xfId="406" xr:uid="{00000000-0005-0000-0000-000096010000}"/>
    <cellStyle name="쉼표 [0] 11 3 4 2" xfId="818" xr:uid="{00000000-0005-0000-0000-000032030000}"/>
    <cellStyle name="쉼표 [0] 11 3 5" xfId="512" xr:uid="{00000000-0005-0000-0000-000000020000}"/>
    <cellStyle name="쉼표 [0] 11 4" xfId="134" xr:uid="{00000000-0005-0000-0000-000086000000}"/>
    <cellStyle name="쉼표 [0] 11 4 2" xfId="546" xr:uid="{00000000-0005-0000-0000-000022020000}"/>
    <cellStyle name="쉼표 [0] 11 5" xfId="236" xr:uid="{00000000-0005-0000-0000-0000EC000000}"/>
    <cellStyle name="쉼표 [0] 11 5 2" xfId="648" xr:uid="{00000000-0005-0000-0000-000088020000}"/>
    <cellStyle name="쉼표 [0] 11 6" xfId="338" xr:uid="{00000000-0005-0000-0000-000052010000}"/>
    <cellStyle name="쉼표 [0] 11 6 2" xfId="750" xr:uid="{00000000-0005-0000-0000-0000EE020000}"/>
    <cellStyle name="쉼표 [0] 11 7" xfId="444" xr:uid="{00000000-0005-0000-0000-0000BC010000}"/>
    <cellStyle name="쉼표 [0] 12" xfId="36" xr:uid="{00000000-0005-0000-0000-000024000000}"/>
    <cellStyle name="쉼표 [0] 12 2" xfId="138" xr:uid="{00000000-0005-0000-0000-00008A000000}"/>
    <cellStyle name="쉼표 [0] 12 2 2" xfId="550" xr:uid="{00000000-0005-0000-0000-000026020000}"/>
    <cellStyle name="쉼표 [0] 12 3" xfId="240" xr:uid="{00000000-0005-0000-0000-0000F0000000}"/>
    <cellStyle name="쉼표 [0] 12 3 2" xfId="652" xr:uid="{00000000-0005-0000-0000-00008C020000}"/>
    <cellStyle name="쉼표 [0] 12 4" xfId="342" xr:uid="{00000000-0005-0000-0000-000056010000}"/>
    <cellStyle name="쉼표 [0] 12 4 2" xfId="754" xr:uid="{00000000-0005-0000-0000-0000F2020000}"/>
    <cellStyle name="쉼표 [0] 12 5" xfId="448" xr:uid="{00000000-0005-0000-0000-0000C0010000}"/>
    <cellStyle name="쉼표 [0] 13" xfId="70" xr:uid="{00000000-0005-0000-0000-000046000000}"/>
    <cellStyle name="쉼표 [0] 13 2" xfId="172" xr:uid="{00000000-0005-0000-0000-0000AC000000}"/>
    <cellStyle name="쉼표 [0] 13 2 2" xfId="584" xr:uid="{00000000-0005-0000-0000-000048020000}"/>
    <cellStyle name="쉼표 [0] 13 3" xfId="274" xr:uid="{00000000-0005-0000-0000-000012010000}"/>
    <cellStyle name="쉼표 [0] 13 3 2" xfId="686" xr:uid="{00000000-0005-0000-0000-0000AE020000}"/>
    <cellStyle name="쉼표 [0] 13 4" xfId="376" xr:uid="{00000000-0005-0000-0000-000078010000}"/>
    <cellStyle name="쉼표 [0] 13 4 2" xfId="788" xr:uid="{00000000-0005-0000-0000-000014030000}"/>
    <cellStyle name="쉼표 [0] 13 5" xfId="482" xr:uid="{00000000-0005-0000-0000-0000E2010000}"/>
    <cellStyle name="쉼표 [0] 14" xfId="104" xr:uid="{00000000-0005-0000-0000-000068000000}"/>
    <cellStyle name="쉼표 [0] 14 2" xfId="516" xr:uid="{00000000-0005-0000-0000-000004020000}"/>
    <cellStyle name="쉼표 [0] 15" xfId="206" xr:uid="{00000000-0005-0000-0000-0000CE000000}"/>
    <cellStyle name="쉼표 [0] 15 2" xfId="618" xr:uid="{00000000-0005-0000-0000-00006A020000}"/>
    <cellStyle name="쉼표 [0] 16" xfId="308" xr:uid="{00000000-0005-0000-0000-000034010000}"/>
    <cellStyle name="쉼표 [0] 16 2" xfId="720" xr:uid="{00000000-0005-0000-0000-0000D0020000}"/>
    <cellStyle name="쉼표 [0] 17" xfId="412" xr:uid="{00000000-0005-0000-0000-00009C010000}"/>
    <cellStyle name="쉼표 [0] 17 2" xfId="824" xr:uid="{00000000-0005-0000-0000-000038030000}"/>
    <cellStyle name="쉼표 [0] 18" xfId="410" xr:uid="{00000000-0005-0000-0000-00009A010000}"/>
    <cellStyle name="쉼표 [0] 18 2" xfId="822" xr:uid="{00000000-0005-0000-0000-000036030000}"/>
    <cellStyle name="쉼표 [0] 19" xfId="414" xr:uid="{00000000-0005-0000-0000-00009E010000}"/>
    <cellStyle name="쉼표 [0] 2" xfId="3" xr:uid="{00000000-0005-0000-0000-000003000000}"/>
    <cellStyle name="쉼표 [0] 2 10" xfId="33" xr:uid="{00000000-0005-0000-0000-000021000000}"/>
    <cellStyle name="쉼표 [0] 2 10 2" xfId="67" xr:uid="{00000000-0005-0000-0000-000043000000}"/>
    <cellStyle name="쉼표 [0] 2 10 2 2" xfId="169" xr:uid="{00000000-0005-0000-0000-0000A9000000}"/>
    <cellStyle name="쉼표 [0] 2 10 2 2 2" xfId="581" xr:uid="{00000000-0005-0000-0000-000045020000}"/>
    <cellStyle name="쉼표 [0] 2 10 2 3" xfId="271" xr:uid="{00000000-0005-0000-0000-00000F010000}"/>
    <cellStyle name="쉼표 [0] 2 10 2 3 2" xfId="683" xr:uid="{00000000-0005-0000-0000-0000AB020000}"/>
    <cellStyle name="쉼표 [0] 2 10 2 4" xfId="373" xr:uid="{00000000-0005-0000-0000-000075010000}"/>
    <cellStyle name="쉼표 [0] 2 10 2 4 2" xfId="785" xr:uid="{00000000-0005-0000-0000-000011030000}"/>
    <cellStyle name="쉼표 [0] 2 10 2 5" xfId="479" xr:uid="{00000000-0005-0000-0000-0000DF010000}"/>
    <cellStyle name="쉼표 [0] 2 10 3" xfId="101" xr:uid="{00000000-0005-0000-0000-000065000000}"/>
    <cellStyle name="쉼표 [0] 2 10 3 2" xfId="203" xr:uid="{00000000-0005-0000-0000-0000CB000000}"/>
    <cellStyle name="쉼표 [0] 2 10 3 2 2" xfId="615" xr:uid="{00000000-0005-0000-0000-000067020000}"/>
    <cellStyle name="쉼표 [0] 2 10 3 3" xfId="305" xr:uid="{00000000-0005-0000-0000-000031010000}"/>
    <cellStyle name="쉼표 [0] 2 10 3 3 2" xfId="717" xr:uid="{00000000-0005-0000-0000-0000CD020000}"/>
    <cellStyle name="쉼표 [0] 2 10 3 4" xfId="407" xr:uid="{00000000-0005-0000-0000-000097010000}"/>
    <cellStyle name="쉼표 [0] 2 10 3 4 2" xfId="819" xr:uid="{00000000-0005-0000-0000-000033030000}"/>
    <cellStyle name="쉼표 [0] 2 10 3 5" xfId="513" xr:uid="{00000000-0005-0000-0000-000001020000}"/>
    <cellStyle name="쉼표 [0] 2 10 4" xfId="135" xr:uid="{00000000-0005-0000-0000-000087000000}"/>
    <cellStyle name="쉼표 [0] 2 10 4 2" xfId="547" xr:uid="{00000000-0005-0000-0000-000023020000}"/>
    <cellStyle name="쉼표 [0] 2 10 5" xfId="237" xr:uid="{00000000-0005-0000-0000-0000ED000000}"/>
    <cellStyle name="쉼표 [0] 2 10 5 2" xfId="649" xr:uid="{00000000-0005-0000-0000-000089020000}"/>
    <cellStyle name="쉼표 [0] 2 10 6" xfId="339" xr:uid="{00000000-0005-0000-0000-000053010000}"/>
    <cellStyle name="쉼표 [0] 2 10 6 2" xfId="751" xr:uid="{00000000-0005-0000-0000-0000EF020000}"/>
    <cellStyle name="쉼표 [0] 2 10 7" xfId="445" xr:uid="{00000000-0005-0000-0000-0000BD010000}"/>
    <cellStyle name="쉼표 [0] 2 11" xfId="37" xr:uid="{00000000-0005-0000-0000-000025000000}"/>
    <cellStyle name="쉼표 [0] 2 11 2" xfId="139" xr:uid="{00000000-0005-0000-0000-00008B000000}"/>
    <cellStyle name="쉼표 [0] 2 11 2 2" xfId="551" xr:uid="{00000000-0005-0000-0000-000027020000}"/>
    <cellStyle name="쉼표 [0] 2 11 3" xfId="241" xr:uid="{00000000-0005-0000-0000-0000F1000000}"/>
    <cellStyle name="쉼표 [0] 2 11 3 2" xfId="653" xr:uid="{00000000-0005-0000-0000-00008D020000}"/>
    <cellStyle name="쉼표 [0] 2 11 4" xfId="343" xr:uid="{00000000-0005-0000-0000-000057010000}"/>
    <cellStyle name="쉼표 [0] 2 11 4 2" xfId="755" xr:uid="{00000000-0005-0000-0000-0000F3020000}"/>
    <cellStyle name="쉼표 [0] 2 11 5" xfId="449" xr:uid="{00000000-0005-0000-0000-0000C1010000}"/>
    <cellStyle name="쉼표 [0] 2 12" xfId="71" xr:uid="{00000000-0005-0000-0000-000047000000}"/>
    <cellStyle name="쉼표 [0] 2 12 2" xfId="173" xr:uid="{00000000-0005-0000-0000-0000AD000000}"/>
    <cellStyle name="쉼표 [0] 2 12 2 2" xfId="585" xr:uid="{00000000-0005-0000-0000-000049020000}"/>
    <cellStyle name="쉼표 [0] 2 12 3" xfId="275" xr:uid="{00000000-0005-0000-0000-000013010000}"/>
    <cellStyle name="쉼표 [0] 2 12 3 2" xfId="687" xr:uid="{00000000-0005-0000-0000-0000AF020000}"/>
    <cellStyle name="쉼표 [0] 2 12 4" xfId="377" xr:uid="{00000000-0005-0000-0000-000079010000}"/>
    <cellStyle name="쉼표 [0] 2 12 4 2" xfId="789" xr:uid="{00000000-0005-0000-0000-000015030000}"/>
    <cellStyle name="쉼표 [0] 2 12 5" xfId="483" xr:uid="{00000000-0005-0000-0000-0000E3010000}"/>
    <cellStyle name="쉼표 [0] 2 13" xfId="105" xr:uid="{00000000-0005-0000-0000-000069000000}"/>
    <cellStyle name="쉼표 [0] 2 13 2" xfId="517" xr:uid="{00000000-0005-0000-0000-000005020000}"/>
    <cellStyle name="쉼표 [0] 2 14" xfId="207" xr:uid="{00000000-0005-0000-0000-0000CF000000}"/>
    <cellStyle name="쉼표 [0] 2 14 2" xfId="619" xr:uid="{00000000-0005-0000-0000-00006B020000}"/>
    <cellStyle name="쉼표 [0] 2 15" xfId="309" xr:uid="{00000000-0005-0000-0000-000035010000}"/>
    <cellStyle name="쉼표 [0] 2 15 2" xfId="721" xr:uid="{00000000-0005-0000-0000-0000D1020000}"/>
    <cellStyle name="쉼표 [0] 2 16" xfId="415" xr:uid="{00000000-0005-0000-0000-00009F010000}"/>
    <cellStyle name="쉼표 [0] 2 2" xfId="5" xr:uid="{00000000-0005-0000-0000-000005000000}"/>
    <cellStyle name="쉼표 [0] 2 2 10" xfId="73" xr:uid="{00000000-0005-0000-0000-000049000000}"/>
    <cellStyle name="쉼표 [0] 2 2 10 2" xfId="175" xr:uid="{00000000-0005-0000-0000-0000AF000000}"/>
    <cellStyle name="쉼표 [0] 2 2 10 2 2" xfId="587" xr:uid="{00000000-0005-0000-0000-00004B020000}"/>
    <cellStyle name="쉼표 [0] 2 2 10 3" xfId="277" xr:uid="{00000000-0005-0000-0000-000015010000}"/>
    <cellStyle name="쉼표 [0] 2 2 10 3 2" xfId="689" xr:uid="{00000000-0005-0000-0000-0000B1020000}"/>
    <cellStyle name="쉼표 [0] 2 2 10 4" xfId="379" xr:uid="{00000000-0005-0000-0000-00007B010000}"/>
    <cellStyle name="쉼표 [0] 2 2 10 4 2" xfId="791" xr:uid="{00000000-0005-0000-0000-000017030000}"/>
    <cellStyle name="쉼표 [0] 2 2 10 5" xfId="485" xr:uid="{00000000-0005-0000-0000-0000E5010000}"/>
    <cellStyle name="쉼표 [0] 2 2 11" xfId="107" xr:uid="{00000000-0005-0000-0000-00006B000000}"/>
    <cellStyle name="쉼표 [0] 2 2 11 2" xfId="519" xr:uid="{00000000-0005-0000-0000-000007020000}"/>
    <cellStyle name="쉼표 [0] 2 2 12" xfId="209" xr:uid="{00000000-0005-0000-0000-0000D1000000}"/>
    <cellStyle name="쉼표 [0] 2 2 12 2" xfId="621" xr:uid="{00000000-0005-0000-0000-00006D020000}"/>
    <cellStyle name="쉼표 [0] 2 2 13" xfId="311" xr:uid="{00000000-0005-0000-0000-000037010000}"/>
    <cellStyle name="쉼표 [0] 2 2 13 2" xfId="723" xr:uid="{00000000-0005-0000-0000-0000D3020000}"/>
    <cellStyle name="쉼표 [0] 2 2 14" xfId="417" xr:uid="{00000000-0005-0000-0000-0000A1010000}"/>
    <cellStyle name="쉼표 [0] 2 2 2" xfId="9" xr:uid="{00000000-0005-0000-0000-000009000000}"/>
    <cellStyle name="쉼표 [0] 2 2 2 2" xfId="43" xr:uid="{00000000-0005-0000-0000-00002B000000}"/>
    <cellStyle name="쉼표 [0] 2 2 2 2 2" xfId="145" xr:uid="{00000000-0005-0000-0000-000091000000}"/>
    <cellStyle name="쉼표 [0] 2 2 2 2 2 2" xfId="557" xr:uid="{00000000-0005-0000-0000-00002D020000}"/>
    <cellStyle name="쉼표 [0] 2 2 2 2 3" xfId="247" xr:uid="{00000000-0005-0000-0000-0000F7000000}"/>
    <cellStyle name="쉼표 [0] 2 2 2 2 3 2" xfId="659" xr:uid="{00000000-0005-0000-0000-000093020000}"/>
    <cellStyle name="쉼표 [0] 2 2 2 2 4" xfId="349" xr:uid="{00000000-0005-0000-0000-00005D010000}"/>
    <cellStyle name="쉼표 [0] 2 2 2 2 4 2" xfId="761" xr:uid="{00000000-0005-0000-0000-0000F9020000}"/>
    <cellStyle name="쉼표 [0] 2 2 2 2 5" xfId="455" xr:uid="{00000000-0005-0000-0000-0000C7010000}"/>
    <cellStyle name="쉼표 [0] 2 2 2 3" xfId="77" xr:uid="{00000000-0005-0000-0000-00004D000000}"/>
    <cellStyle name="쉼표 [0] 2 2 2 3 2" xfId="179" xr:uid="{00000000-0005-0000-0000-0000B3000000}"/>
    <cellStyle name="쉼표 [0] 2 2 2 3 2 2" xfId="591" xr:uid="{00000000-0005-0000-0000-00004F020000}"/>
    <cellStyle name="쉼표 [0] 2 2 2 3 3" xfId="281" xr:uid="{00000000-0005-0000-0000-000019010000}"/>
    <cellStyle name="쉼표 [0] 2 2 2 3 3 2" xfId="693" xr:uid="{00000000-0005-0000-0000-0000B5020000}"/>
    <cellStyle name="쉼표 [0] 2 2 2 3 4" xfId="383" xr:uid="{00000000-0005-0000-0000-00007F010000}"/>
    <cellStyle name="쉼표 [0] 2 2 2 3 4 2" xfId="795" xr:uid="{00000000-0005-0000-0000-00001B030000}"/>
    <cellStyle name="쉼표 [0] 2 2 2 3 5" xfId="489" xr:uid="{00000000-0005-0000-0000-0000E9010000}"/>
    <cellStyle name="쉼표 [0] 2 2 2 4" xfId="111" xr:uid="{00000000-0005-0000-0000-00006F000000}"/>
    <cellStyle name="쉼표 [0] 2 2 2 4 2" xfId="523" xr:uid="{00000000-0005-0000-0000-00000B020000}"/>
    <cellStyle name="쉼표 [0] 2 2 2 5" xfId="213" xr:uid="{00000000-0005-0000-0000-0000D5000000}"/>
    <cellStyle name="쉼표 [0] 2 2 2 5 2" xfId="625" xr:uid="{00000000-0005-0000-0000-000071020000}"/>
    <cellStyle name="쉼표 [0] 2 2 2 6" xfId="315" xr:uid="{00000000-0005-0000-0000-00003B010000}"/>
    <cellStyle name="쉼표 [0] 2 2 2 6 2" xfId="727" xr:uid="{00000000-0005-0000-0000-0000D7020000}"/>
    <cellStyle name="쉼표 [0] 2 2 2 7" xfId="421" xr:uid="{00000000-0005-0000-0000-0000A5010000}"/>
    <cellStyle name="쉼표 [0] 2 2 3" xfId="13" xr:uid="{00000000-0005-0000-0000-00000D000000}"/>
    <cellStyle name="쉼표 [0] 2 2 3 2" xfId="47" xr:uid="{00000000-0005-0000-0000-00002F000000}"/>
    <cellStyle name="쉼표 [0] 2 2 3 2 2" xfId="149" xr:uid="{00000000-0005-0000-0000-000095000000}"/>
    <cellStyle name="쉼표 [0] 2 2 3 2 2 2" xfId="561" xr:uid="{00000000-0005-0000-0000-000031020000}"/>
    <cellStyle name="쉼표 [0] 2 2 3 2 3" xfId="251" xr:uid="{00000000-0005-0000-0000-0000FB000000}"/>
    <cellStyle name="쉼표 [0] 2 2 3 2 3 2" xfId="663" xr:uid="{00000000-0005-0000-0000-000097020000}"/>
    <cellStyle name="쉼표 [0] 2 2 3 2 4" xfId="353" xr:uid="{00000000-0005-0000-0000-000061010000}"/>
    <cellStyle name="쉼표 [0] 2 2 3 2 4 2" xfId="765" xr:uid="{00000000-0005-0000-0000-0000FD020000}"/>
    <cellStyle name="쉼표 [0] 2 2 3 2 5" xfId="459" xr:uid="{00000000-0005-0000-0000-0000CB010000}"/>
    <cellStyle name="쉼표 [0] 2 2 3 3" xfId="81" xr:uid="{00000000-0005-0000-0000-000051000000}"/>
    <cellStyle name="쉼표 [0] 2 2 3 3 2" xfId="183" xr:uid="{00000000-0005-0000-0000-0000B7000000}"/>
    <cellStyle name="쉼표 [0] 2 2 3 3 2 2" xfId="595" xr:uid="{00000000-0005-0000-0000-000053020000}"/>
    <cellStyle name="쉼표 [0] 2 2 3 3 3" xfId="285" xr:uid="{00000000-0005-0000-0000-00001D010000}"/>
    <cellStyle name="쉼표 [0] 2 2 3 3 3 2" xfId="697" xr:uid="{00000000-0005-0000-0000-0000B9020000}"/>
    <cellStyle name="쉼표 [0] 2 2 3 3 4" xfId="387" xr:uid="{00000000-0005-0000-0000-000083010000}"/>
    <cellStyle name="쉼표 [0] 2 2 3 3 4 2" xfId="799" xr:uid="{00000000-0005-0000-0000-00001F030000}"/>
    <cellStyle name="쉼표 [0] 2 2 3 3 5" xfId="493" xr:uid="{00000000-0005-0000-0000-0000ED010000}"/>
    <cellStyle name="쉼표 [0] 2 2 3 4" xfId="115" xr:uid="{00000000-0005-0000-0000-000073000000}"/>
    <cellStyle name="쉼표 [0] 2 2 3 4 2" xfId="527" xr:uid="{00000000-0005-0000-0000-00000F020000}"/>
    <cellStyle name="쉼표 [0] 2 2 3 5" xfId="217" xr:uid="{00000000-0005-0000-0000-0000D9000000}"/>
    <cellStyle name="쉼표 [0] 2 2 3 5 2" xfId="629" xr:uid="{00000000-0005-0000-0000-000075020000}"/>
    <cellStyle name="쉼표 [0] 2 2 3 6" xfId="319" xr:uid="{00000000-0005-0000-0000-00003F010000}"/>
    <cellStyle name="쉼표 [0] 2 2 3 6 2" xfId="731" xr:uid="{00000000-0005-0000-0000-0000DB020000}"/>
    <cellStyle name="쉼표 [0] 2 2 3 7" xfId="425" xr:uid="{00000000-0005-0000-0000-0000A9010000}"/>
    <cellStyle name="쉼표 [0] 2 2 4" xfId="17" xr:uid="{00000000-0005-0000-0000-000011000000}"/>
    <cellStyle name="쉼표 [0] 2 2 4 2" xfId="51" xr:uid="{00000000-0005-0000-0000-000033000000}"/>
    <cellStyle name="쉼표 [0] 2 2 4 2 2" xfId="153" xr:uid="{00000000-0005-0000-0000-000099000000}"/>
    <cellStyle name="쉼표 [0] 2 2 4 2 2 2" xfId="565" xr:uid="{00000000-0005-0000-0000-000035020000}"/>
    <cellStyle name="쉼표 [0] 2 2 4 2 3" xfId="255" xr:uid="{00000000-0005-0000-0000-0000FF000000}"/>
    <cellStyle name="쉼표 [0] 2 2 4 2 3 2" xfId="667" xr:uid="{00000000-0005-0000-0000-00009B020000}"/>
    <cellStyle name="쉼표 [0] 2 2 4 2 4" xfId="357" xr:uid="{00000000-0005-0000-0000-000065010000}"/>
    <cellStyle name="쉼표 [0] 2 2 4 2 4 2" xfId="769" xr:uid="{00000000-0005-0000-0000-000001030000}"/>
    <cellStyle name="쉼표 [0] 2 2 4 2 5" xfId="463" xr:uid="{00000000-0005-0000-0000-0000CF010000}"/>
    <cellStyle name="쉼표 [0] 2 2 4 3" xfId="85" xr:uid="{00000000-0005-0000-0000-000055000000}"/>
    <cellStyle name="쉼표 [0] 2 2 4 3 2" xfId="187" xr:uid="{00000000-0005-0000-0000-0000BB000000}"/>
    <cellStyle name="쉼표 [0] 2 2 4 3 2 2" xfId="599" xr:uid="{00000000-0005-0000-0000-000057020000}"/>
    <cellStyle name="쉼표 [0] 2 2 4 3 3" xfId="289" xr:uid="{00000000-0005-0000-0000-000021010000}"/>
    <cellStyle name="쉼표 [0] 2 2 4 3 3 2" xfId="701" xr:uid="{00000000-0005-0000-0000-0000BD020000}"/>
    <cellStyle name="쉼표 [0] 2 2 4 3 4" xfId="391" xr:uid="{00000000-0005-0000-0000-000087010000}"/>
    <cellStyle name="쉼표 [0] 2 2 4 3 4 2" xfId="803" xr:uid="{00000000-0005-0000-0000-000023030000}"/>
    <cellStyle name="쉼표 [0] 2 2 4 3 5" xfId="497" xr:uid="{00000000-0005-0000-0000-0000F1010000}"/>
    <cellStyle name="쉼표 [0] 2 2 4 4" xfId="119" xr:uid="{00000000-0005-0000-0000-000077000000}"/>
    <cellStyle name="쉼표 [0] 2 2 4 4 2" xfId="531" xr:uid="{00000000-0005-0000-0000-000013020000}"/>
    <cellStyle name="쉼표 [0] 2 2 4 5" xfId="221" xr:uid="{00000000-0005-0000-0000-0000DD000000}"/>
    <cellStyle name="쉼표 [0] 2 2 4 5 2" xfId="633" xr:uid="{00000000-0005-0000-0000-000079020000}"/>
    <cellStyle name="쉼표 [0] 2 2 4 6" xfId="323" xr:uid="{00000000-0005-0000-0000-000043010000}"/>
    <cellStyle name="쉼표 [0] 2 2 4 6 2" xfId="735" xr:uid="{00000000-0005-0000-0000-0000DF020000}"/>
    <cellStyle name="쉼표 [0] 2 2 4 7" xfId="429" xr:uid="{00000000-0005-0000-0000-0000AD010000}"/>
    <cellStyle name="쉼표 [0] 2 2 5" xfId="21" xr:uid="{00000000-0005-0000-0000-000015000000}"/>
    <cellStyle name="쉼표 [0] 2 2 5 2" xfId="55" xr:uid="{00000000-0005-0000-0000-000037000000}"/>
    <cellStyle name="쉼표 [0] 2 2 5 2 2" xfId="157" xr:uid="{00000000-0005-0000-0000-00009D000000}"/>
    <cellStyle name="쉼표 [0] 2 2 5 2 2 2" xfId="569" xr:uid="{00000000-0005-0000-0000-000039020000}"/>
    <cellStyle name="쉼표 [0] 2 2 5 2 3" xfId="259" xr:uid="{00000000-0005-0000-0000-000003010000}"/>
    <cellStyle name="쉼표 [0] 2 2 5 2 3 2" xfId="671" xr:uid="{00000000-0005-0000-0000-00009F020000}"/>
    <cellStyle name="쉼표 [0] 2 2 5 2 4" xfId="361" xr:uid="{00000000-0005-0000-0000-000069010000}"/>
    <cellStyle name="쉼표 [0] 2 2 5 2 4 2" xfId="773" xr:uid="{00000000-0005-0000-0000-000005030000}"/>
    <cellStyle name="쉼표 [0] 2 2 5 2 5" xfId="467" xr:uid="{00000000-0005-0000-0000-0000D3010000}"/>
    <cellStyle name="쉼표 [0] 2 2 5 3" xfId="89" xr:uid="{00000000-0005-0000-0000-000059000000}"/>
    <cellStyle name="쉼표 [0] 2 2 5 3 2" xfId="191" xr:uid="{00000000-0005-0000-0000-0000BF000000}"/>
    <cellStyle name="쉼표 [0] 2 2 5 3 2 2" xfId="603" xr:uid="{00000000-0005-0000-0000-00005B020000}"/>
    <cellStyle name="쉼표 [0] 2 2 5 3 3" xfId="293" xr:uid="{00000000-0005-0000-0000-000025010000}"/>
    <cellStyle name="쉼표 [0] 2 2 5 3 3 2" xfId="705" xr:uid="{00000000-0005-0000-0000-0000C1020000}"/>
    <cellStyle name="쉼표 [0] 2 2 5 3 4" xfId="395" xr:uid="{00000000-0005-0000-0000-00008B010000}"/>
    <cellStyle name="쉼표 [0] 2 2 5 3 4 2" xfId="807" xr:uid="{00000000-0005-0000-0000-000027030000}"/>
    <cellStyle name="쉼표 [0] 2 2 5 3 5" xfId="501" xr:uid="{00000000-0005-0000-0000-0000F5010000}"/>
    <cellStyle name="쉼표 [0] 2 2 5 4" xfId="123" xr:uid="{00000000-0005-0000-0000-00007B000000}"/>
    <cellStyle name="쉼표 [0] 2 2 5 4 2" xfId="535" xr:uid="{00000000-0005-0000-0000-000017020000}"/>
    <cellStyle name="쉼표 [0] 2 2 5 5" xfId="225" xr:uid="{00000000-0005-0000-0000-0000E1000000}"/>
    <cellStyle name="쉼표 [0] 2 2 5 5 2" xfId="637" xr:uid="{00000000-0005-0000-0000-00007D020000}"/>
    <cellStyle name="쉼표 [0] 2 2 5 6" xfId="327" xr:uid="{00000000-0005-0000-0000-000047010000}"/>
    <cellStyle name="쉼표 [0] 2 2 5 6 2" xfId="739" xr:uid="{00000000-0005-0000-0000-0000E3020000}"/>
    <cellStyle name="쉼표 [0] 2 2 5 7" xfId="433" xr:uid="{00000000-0005-0000-0000-0000B1010000}"/>
    <cellStyle name="쉼표 [0] 2 2 6" xfId="25" xr:uid="{00000000-0005-0000-0000-000019000000}"/>
    <cellStyle name="쉼표 [0] 2 2 6 2" xfId="59" xr:uid="{00000000-0005-0000-0000-00003B000000}"/>
    <cellStyle name="쉼표 [0] 2 2 6 2 2" xfId="161" xr:uid="{00000000-0005-0000-0000-0000A1000000}"/>
    <cellStyle name="쉼표 [0] 2 2 6 2 2 2" xfId="573" xr:uid="{00000000-0005-0000-0000-00003D020000}"/>
    <cellStyle name="쉼표 [0] 2 2 6 2 3" xfId="263" xr:uid="{00000000-0005-0000-0000-000007010000}"/>
    <cellStyle name="쉼표 [0] 2 2 6 2 3 2" xfId="675" xr:uid="{00000000-0005-0000-0000-0000A3020000}"/>
    <cellStyle name="쉼표 [0] 2 2 6 2 4" xfId="365" xr:uid="{00000000-0005-0000-0000-00006D010000}"/>
    <cellStyle name="쉼표 [0] 2 2 6 2 4 2" xfId="777" xr:uid="{00000000-0005-0000-0000-000009030000}"/>
    <cellStyle name="쉼표 [0] 2 2 6 2 5" xfId="471" xr:uid="{00000000-0005-0000-0000-0000D7010000}"/>
    <cellStyle name="쉼표 [0] 2 2 6 3" xfId="93" xr:uid="{00000000-0005-0000-0000-00005D000000}"/>
    <cellStyle name="쉼표 [0] 2 2 6 3 2" xfId="195" xr:uid="{00000000-0005-0000-0000-0000C3000000}"/>
    <cellStyle name="쉼표 [0] 2 2 6 3 2 2" xfId="607" xr:uid="{00000000-0005-0000-0000-00005F020000}"/>
    <cellStyle name="쉼표 [0] 2 2 6 3 3" xfId="297" xr:uid="{00000000-0005-0000-0000-000029010000}"/>
    <cellStyle name="쉼표 [0] 2 2 6 3 3 2" xfId="709" xr:uid="{00000000-0005-0000-0000-0000C5020000}"/>
    <cellStyle name="쉼표 [0] 2 2 6 3 4" xfId="399" xr:uid="{00000000-0005-0000-0000-00008F010000}"/>
    <cellStyle name="쉼표 [0] 2 2 6 3 4 2" xfId="811" xr:uid="{00000000-0005-0000-0000-00002B030000}"/>
    <cellStyle name="쉼표 [0] 2 2 6 3 5" xfId="505" xr:uid="{00000000-0005-0000-0000-0000F9010000}"/>
    <cellStyle name="쉼표 [0] 2 2 6 4" xfId="127" xr:uid="{00000000-0005-0000-0000-00007F000000}"/>
    <cellStyle name="쉼표 [0] 2 2 6 4 2" xfId="539" xr:uid="{00000000-0005-0000-0000-00001B020000}"/>
    <cellStyle name="쉼표 [0] 2 2 6 5" xfId="229" xr:uid="{00000000-0005-0000-0000-0000E5000000}"/>
    <cellStyle name="쉼표 [0] 2 2 6 5 2" xfId="641" xr:uid="{00000000-0005-0000-0000-000081020000}"/>
    <cellStyle name="쉼표 [0] 2 2 6 6" xfId="331" xr:uid="{00000000-0005-0000-0000-00004B010000}"/>
    <cellStyle name="쉼표 [0] 2 2 6 6 2" xfId="743" xr:uid="{00000000-0005-0000-0000-0000E7020000}"/>
    <cellStyle name="쉼표 [0] 2 2 6 7" xfId="437" xr:uid="{00000000-0005-0000-0000-0000B5010000}"/>
    <cellStyle name="쉼표 [0] 2 2 7" xfId="31" xr:uid="{00000000-0005-0000-0000-00001F000000}"/>
    <cellStyle name="쉼표 [0] 2 2 7 2" xfId="65" xr:uid="{00000000-0005-0000-0000-000041000000}"/>
    <cellStyle name="쉼표 [0] 2 2 7 2 2" xfId="167" xr:uid="{00000000-0005-0000-0000-0000A7000000}"/>
    <cellStyle name="쉼표 [0] 2 2 7 2 2 2" xfId="579" xr:uid="{00000000-0005-0000-0000-000043020000}"/>
    <cellStyle name="쉼표 [0] 2 2 7 2 3" xfId="269" xr:uid="{00000000-0005-0000-0000-00000D010000}"/>
    <cellStyle name="쉼표 [0] 2 2 7 2 3 2" xfId="681" xr:uid="{00000000-0005-0000-0000-0000A9020000}"/>
    <cellStyle name="쉼표 [0] 2 2 7 2 4" xfId="371" xr:uid="{00000000-0005-0000-0000-000073010000}"/>
    <cellStyle name="쉼표 [0] 2 2 7 2 4 2" xfId="783" xr:uid="{00000000-0005-0000-0000-00000F030000}"/>
    <cellStyle name="쉼표 [0] 2 2 7 2 5" xfId="477" xr:uid="{00000000-0005-0000-0000-0000DD010000}"/>
    <cellStyle name="쉼표 [0] 2 2 7 3" xfId="99" xr:uid="{00000000-0005-0000-0000-000063000000}"/>
    <cellStyle name="쉼표 [0] 2 2 7 3 2" xfId="201" xr:uid="{00000000-0005-0000-0000-0000C9000000}"/>
    <cellStyle name="쉼표 [0] 2 2 7 3 2 2" xfId="613" xr:uid="{00000000-0005-0000-0000-000065020000}"/>
    <cellStyle name="쉼표 [0] 2 2 7 3 3" xfId="303" xr:uid="{00000000-0005-0000-0000-00002F010000}"/>
    <cellStyle name="쉼표 [0] 2 2 7 3 3 2" xfId="715" xr:uid="{00000000-0005-0000-0000-0000CB020000}"/>
    <cellStyle name="쉼표 [0] 2 2 7 3 4" xfId="405" xr:uid="{00000000-0005-0000-0000-000095010000}"/>
    <cellStyle name="쉼표 [0] 2 2 7 3 4 2" xfId="817" xr:uid="{00000000-0005-0000-0000-000031030000}"/>
    <cellStyle name="쉼표 [0] 2 2 7 3 5" xfId="511" xr:uid="{00000000-0005-0000-0000-0000FF010000}"/>
    <cellStyle name="쉼표 [0] 2 2 7 4" xfId="133" xr:uid="{00000000-0005-0000-0000-000085000000}"/>
    <cellStyle name="쉼표 [0] 2 2 7 4 2" xfId="545" xr:uid="{00000000-0005-0000-0000-000021020000}"/>
    <cellStyle name="쉼표 [0] 2 2 7 5" xfId="235" xr:uid="{00000000-0005-0000-0000-0000EB000000}"/>
    <cellStyle name="쉼표 [0] 2 2 7 5 2" xfId="647" xr:uid="{00000000-0005-0000-0000-000087020000}"/>
    <cellStyle name="쉼표 [0] 2 2 7 6" xfId="337" xr:uid="{00000000-0005-0000-0000-000051010000}"/>
    <cellStyle name="쉼표 [0] 2 2 7 6 2" xfId="749" xr:uid="{00000000-0005-0000-0000-0000ED020000}"/>
    <cellStyle name="쉼표 [0] 2 2 7 7" xfId="443" xr:uid="{00000000-0005-0000-0000-0000BB010000}"/>
    <cellStyle name="쉼표 [0] 2 2 8" xfId="35" xr:uid="{00000000-0005-0000-0000-000023000000}"/>
    <cellStyle name="쉼표 [0] 2 2 8 2" xfId="69" xr:uid="{00000000-0005-0000-0000-000045000000}"/>
    <cellStyle name="쉼표 [0] 2 2 8 2 2" xfId="171" xr:uid="{00000000-0005-0000-0000-0000AB000000}"/>
    <cellStyle name="쉼표 [0] 2 2 8 2 2 2" xfId="583" xr:uid="{00000000-0005-0000-0000-000047020000}"/>
    <cellStyle name="쉼표 [0] 2 2 8 2 3" xfId="273" xr:uid="{00000000-0005-0000-0000-000011010000}"/>
    <cellStyle name="쉼표 [0] 2 2 8 2 3 2" xfId="685" xr:uid="{00000000-0005-0000-0000-0000AD020000}"/>
    <cellStyle name="쉼표 [0] 2 2 8 2 4" xfId="375" xr:uid="{00000000-0005-0000-0000-000077010000}"/>
    <cellStyle name="쉼표 [0] 2 2 8 2 4 2" xfId="787" xr:uid="{00000000-0005-0000-0000-000013030000}"/>
    <cellStyle name="쉼표 [0] 2 2 8 2 5" xfId="481" xr:uid="{00000000-0005-0000-0000-0000E1010000}"/>
    <cellStyle name="쉼표 [0] 2 2 8 3" xfId="103" xr:uid="{00000000-0005-0000-0000-000067000000}"/>
    <cellStyle name="쉼표 [0] 2 2 8 3 2" xfId="205" xr:uid="{00000000-0005-0000-0000-0000CD000000}"/>
    <cellStyle name="쉼표 [0] 2 2 8 3 2 2" xfId="617" xr:uid="{00000000-0005-0000-0000-000069020000}"/>
    <cellStyle name="쉼표 [0] 2 2 8 3 3" xfId="307" xr:uid="{00000000-0005-0000-0000-000033010000}"/>
    <cellStyle name="쉼표 [0] 2 2 8 3 3 2" xfId="719" xr:uid="{00000000-0005-0000-0000-0000CF020000}"/>
    <cellStyle name="쉼표 [0] 2 2 8 3 4" xfId="409" xr:uid="{00000000-0005-0000-0000-000099010000}"/>
    <cellStyle name="쉼표 [0] 2 2 8 3 4 2" xfId="821" xr:uid="{00000000-0005-0000-0000-000035030000}"/>
    <cellStyle name="쉼표 [0] 2 2 8 3 5" xfId="515" xr:uid="{00000000-0005-0000-0000-000003020000}"/>
    <cellStyle name="쉼표 [0] 2 2 8 4" xfId="137" xr:uid="{00000000-0005-0000-0000-000089000000}"/>
    <cellStyle name="쉼표 [0] 2 2 8 4 2" xfId="549" xr:uid="{00000000-0005-0000-0000-000025020000}"/>
    <cellStyle name="쉼표 [0] 2 2 8 5" xfId="239" xr:uid="{00000000-0005-0000-0000-0000EF000000}"/>
    <cellStyle name="쉼표 [0] 2 2 8 5 2" xfId="651" xr:uid="{00000000-0005-0000-0000-00008B020000}"/>
    <cellStyle name="쉼표 [0] 2 2 8 6" xfId="341" xr:uid="{00000000-0005-0000-0000-000055010000}"/>
    <cellStyle name="쉼표 [0] 2 2 8 6 2" xfId="753" xr:uid="{00000000-0005-0000-0000-0000F1020000}"/>
    <cellStyle name="쉼표 [0] 2 2 8 7" xfId="447" xr:uid="{00000000-0005-0000-0000-0000BF010000}"/>
    <cellStyle name="쉼표 [0] 2 2 9" xfId="39" xr:uid="{00000000-0005-0000-0000-000027000000}"/>
    <cellStyle name="쉼표 [0] 2 2 9 2" xfId="141" xr:uid="{00000000-0005-0000-0000-00008D000000}"/>
    <cellStyle name="쉼표 [0] 2 2 9 2 2" xfId="553" xr:uid="{00000000-0005-0000-0000-000029020000}"/>
    <cellStyle name="쉼표 [0] 2 2 9 3" xfId="243" xr:uid="{00000000-0005-0000-0000-0000F3000000}"/>
    <cellStyle name="쉼표 [0] 2 2 9 3 2" xfId="655" xr:uid="{00000000-0005-0000-0000-00008F020000}"/>
    <cellStyle name="쉼표 [0] 2 2 9 4" xfId="345" xr:uid="{00000000-0005-0000-0000-000059010000}"/>
    <cellStyle name="쉼표 [0] 2 2 9 4 2" xfId="757" xr:uid="{00000000-0005-0000-0000-0000F5020000}"/>
    <cellStyle name="쉼표 [0] 2 2 9 5" xfId="451" xr:uid="{00000000-0005-0000-0000-0000C3010000}"/>
    <cellStyle name="쉼표 [0] 2 3" xfId="7" xr:uid="{00000000-0005-0000-0000-000007000000}"/>
    <cellStyle name="쉼표 [0] 2 3 2" xfId="41" xr:uid="{00000000-0005-0000-0000-000029000000}"/>
    <cellStyle name="쉼표 [0] 2 3 2 2" xfId="143" xr:uid="{00000000-0005-0000-0000-00008F000000}"/>
    <cellStyle name="쉼표 [0] 2 3 2 2 2" xfId="555" xr:uid="{00000000-0005-0000-0000-00002B020000}"/>
    <cellStyle name="쉼표 [0] 2 3 2 3" xfId="245" xr:uid="{00000000-0005-0000-0000-0000F5000000}"/>
    <cellStyle name="쉼표 [0] 2 3 2 3 2" xfId="657" xr:uid="{00000000-0005-0000-0000-000091020000}"/>
    <cellStyle name="쉼표 [0] 2 3 2 4" xfId="347" xr:uid="{00000000-0005-0000-0000-00005B010000}"/>
    <cellStyle name="쉼표 [0] 2 3 2 4 2" xfId="759" xr:uid="{00000000-0005-0000-0000-0000F7020000}"/>
    <cellStyle name="쉼표 [0] 2 3 2 5" xfId="453" xr:uid="{00000000-0005-0000-0000-0000C5010000}"/>
    <cellStyle name="쉼표 [0] 2 3 3" xfId="75" xr:uid="{00000000-0005-0000-0000-00004B000000}"/>
    <cellStyle name="쉼표 [0] 2 3 3 2" xfId="177" xr:uid="{00000000-0005-0000-0000-0000B1000000}"/>
    <cellStyle name="쉼표 [0] 2 3 3 2 2" xfId="589" xr:uid="{00000000-0005-0000-0000-00004D020000}"/>
    <cellStyle name="쉼표 [0] 2 3 3 3" xfId="279" xr:uid="{00000000-0005-0000-0000-000017010000}"/>
    <cellStyle name="쉼표 [0] 2 3 3 3 2" xfId="691" xr:uid="{00000000-0005-0000-0000-0000B3020000}"/>
    <cellStyle name="쉼표 [0] 2 3 3 4" xfId="381" xr:uid="{00000000-0005-0000-0000-00007D010000}"/>
    <cellStyle name="쉼표 [0] 2 3 3 4 2" xfId="793" xr:uid="{00000000-0005-0000-0000-000019030000}"/>
    <cellStyle name="쉼표 [0] 2 3 3 5" xfId="487" xr:uid="{00000000-0005-0000-0000-0000E7010000}"/>
    <cellStyle name="쉼표 [0] 2 3 4" xfId="109" xr:uid="{00000000-0005-0000-0000-00006D000000}"/>
    <cellStyle name="쉼표 [0] 2 3 4 2" xfId="521" xr:uid="{00000000-0005-0000-0000-000009020000}"/>
    <cellStyle name="쉼표 [0] 2 3 5" xfId="211" xr:uid="{00000000-0005-0000-0000-0000D3000000}"/>
    <cellStyle name="쉼표 [0] 2 3 5 2" xfId="623" xr:uid="{00000000-0005-0000-0000-00006F020000}"/>
    <cellStyle name="쉼표 [0] 2 3 6" xfId="313" xr:uid="{00000000-0005-0000-0000-000039010000}"/>
    <cellStyle name="쉼표 [0] 2 3 6 2" xfId="725" xr:uid="{00000000-0005-0000-0000-0000D5020000}"/>
    <cellStyle name="쉼표 [0] 2 3 7" xfId="419" xr:uid="{00000000-0005-0000-0000-0000A3010000}"/>
    <cellStyle name="쉼표 [0] 2 4" xfId="11" xr:uid="{00000000-0005-0000-0000-00000B000000}"/>
    <cellStyle name="쉼표 [0] 2 4 2" xfId="45" xr:uid="{00000000-0005-0000-0000-00002D000000}"/>
    <cellStyle name="쉼표 [0] 2 4 2 2" xfId="147" xr:uid="{00000000-0005-0000-0000-000093000000}"/>
    <cellStyle name="쉼표 [0] 2 4 2 2 2" xfId="559" xr:uid="{00000000-0005-0000-0000-00002F020000}"/>
    <cellStyle name="쉼표 [0] 2 4 2 3" xfId="249" xr:uid="{00000000-0005-0000-0000-0000F9000000}"/>
    <cellStyle name="쉼표 [0] 2 4 2 3 2" xfId="661" xr:uid="{00000000-0005-0000-0000-000095020000}"/>
    <cellStyle name="쉼표 [0] 2 4 2 4" xfId="351" xr:uid="{00000000-0005-0000-0000-00005F010000}"/>
    <cellStyle name="쉼표 [0] 2 4 2 4 2" xfId="763" xr:uid="{00000000-0005-0000-0000-0000FB020000}"/>
    <cellStyle name="쉼표 [0] 2 4 2 5" xfId="457" xr:uid="{00000000-0005-0000-0000-0000C9010000}"/>
    <cellStyle name="쉼표 [0] 2 4 3" xfId="79" xr:uid="{00000000-0005-0000-0000-00004F000000}"/>
    <cellStyle name="쉼표 [0] 2 4 3 2" xfId="181" xr:uid="{00000000-0005-0000-0000-0000B5000000}"/>
    <cellStyle name="쉼표 [0] 2 4 3 2 2" xfId="593" xr:uid="{00000000-0005-0000-0000-000051020000}"/>
    <cellStyle name="쉼표 [0] 2 4 3 3" xfId="283" xr:uid="{00000000-0005-0000-0000-00001B010000}"/>
    <cellStyle name="쉼표 [0] 2 4 3 3 2" xfId="695" xr:uid="{00000000-0005-0000-0000-0000B7020000}"/>
    <cellStyle name="쉼표 [0] 2 4 3 4" xfId="385" xr:uid="{00000000-0005-0000-0000-000081010000}"/>
    <cellStyle name="쉼표 [0] 2 4 3 4 2" xfId="797" xr:uid="{00000000-0005-0000-0000-00001D030000}"/>
    <cellStyle name="쉼표 [0] 2 4 3 5" xfId="491" xr:uid="{00000000-0005-0000-0000-0000EB010000}"/>
    <cellStyle name="쉼표 [0] 2 4 4" xfId="113" xr:uid="{00000000-0005-0000-0000-000071000000}"/>
    <cellStyle name="쉼표 [0] 2 4 4 2" xfId="525" xr:uid="{00000000-0005-0000-0000-00000D020000}"/>
    <cellStyle name="쉼표 [0] 2 4 5" xfId="215" xr:uid="{00000000-0005-0000-0000-0000D7000000}"/>
    <cellStyle name="쉼표 [0] 2 4 5 2" xfId="627" xr:uid="{00000000-0005-0000-0000-000073020000}"/>
    <cellStyle name="쉼표 [0] 2 4 6" xfId="317" xr:uid="{00000000-0005-0000-0000-00003D010000}"/>
    <cellStyle name="쉼표 [0] 2 4 6 2" xfId="729" xr:uid="{00000000-0005-0000-0000-0000D9020000}"/>
    <cellStyle name="쉼표 [0] 2 4 7" xfId="423" xr:uid="{00000000-0005-0000-0000-0000A7010000}"/>
    <cellStyle name="쉼표 [0] 2 5" xfId="15" xr:uid="{00000000-0005-0000-0000-00000F000000}"/>
    <cellStyle name="쉼표 [0] 2 5 2" xfId="49" xr:uid="{00000000-0005-0000-0000-000031000000}"/>
    <cellStyle name="쉼표 [0] 2 5 2 2" xfId="151" xr:uid="{00000000-0005-0000-0000-000097000000}"/>
    <cellStyle name="쉼표 [0] 2 5 2 2 2" xfId="563" xr:uid="{00000000-0005-0000-0000-000033020000}"/>
    <cellStyle name="쉼표 [0] 2 5 2 3" xfId="253" xr:uid="{00000000-0005-0000-0000-0000FD000000}"/>
    <cellStyle name="쉼표 [0] 2 5 2 3 2" xfId="665" xr:uid="{00000000-0005-0000-0000-000099020000}"/>
    <cellStyle name="쉼표 [0] 2 5 2 4" xfId="355" xr:uid="{00000000-0005-0000-0000-000063010000}"/>
    <cellStyle name="쉼표 [0] 2 5 2 4 2" xfId="767" xr:uid="{00000000-0005-0000-0000-0000FF020000}"/>
    <cellStyle name="쉼표 [0] 2 5 2 5" xfId="461" xr:uid="{00000000-0005-0000-0000-0000CD010000}"/>
    <cellStyle name="쉼표 [0] 2 5 3" xfId="83" xr:uid="{00000000-0005-0000-0000-000053000000}"/>
    <cellStyle name="쉼표 [0] 2 5 3 2" xfId="185" xr:uid="{00000000-0005-0000-0000-0000B9000000}"/>
    <cellStyle name="쉼표 [0] 2 5 3 2 2" xfId="597" xr:uid="{00000000-0005-0000-0000-000055020000}"/>
    <cellStyle name="쉼표 [0] 2 5 3 3" xfId="287" xr:uid="{00000000-0005-0000-0000-00001F010000}"/>
    <cellStyle name="쉼표 [0] 2 5 3 3 2" xfId="699" xr:uid="{00000000-0005-0000-0000-0000BB020000}"/>
    <cellStyle name="쉼표 [0] 2 5 3 4" xfId="389" xr:uid="{00000000-0005-0000-0000-000085010000}"/>
    <cellStyle name="쉼표 [0] 2 5 3 4 2" xfId="801" xr:uid="{00000000-0005-0000-0000-000021030000}"/>
    <cellStyle name="쉼표 [0] 2 5 3 5" xfId="495" xr:uid="{00000000-0005-0000-0000-0000EF010000}"/>
    <cellStyle name="쉼표 [0] 2 5 4" xfId="117" xr:uid="{00000000-0005-0000-0000-000075000000}"/>
    <cellStyle name="쉼표 [0] 2 5 4 2" xfId="529" xr:uid="{00000000-0005-0000-0000-000011020000}"/>
    <cellStyle name="쉼표 [0] 2 5 5" xfId="219" xr:uid="{00000000-0005-0000-0000-0000DB000000}"/>
    <cellStyle name="쉼표 [0] 2 5 5 2" xfId="631" xr:uid="{00000000-0005-0000-0000-000077020000}"/>
    <cellStyle name="쉼표 [0] 2 5 6" xfId="321" xr:uid="{00000000-0005-0000-0000-000041010000}"/>
    <cellStyle name="쉼표 [0] 2 5 6 2" xfId="733" xr:uid="{00000000-0005-0000-0000-0000DD020000}"/>
    <cellStyle name="쉼표 [0] 2 5 7" xfId="427" xr:uid="{00000000-0005-0000-0000-0000AB010000}"/>
    <cellStyle name="쉼표 [0] 2 6" xfId="19" xr:uid="{00000000-0005-0000-0000-000013000000}"/>
    <cellStyle name="쉼표 [0] 2 6 2" xfId="53" xr:uid="{00000000-0005-0000-0000-000035000000}"/>
    <cellStyle name="쉼표 [0] 2 6 2 2" xfId="155" xr:uid="{00000000-0005-0000-0000-00009B000000}"/>
    <cellStyle name="쉼표 [0] 2 6 2 2 2" xfId="567" xr:uid="{00000000-0005-0000-0000-000037020000}"/>
    <cellStyle name="쉼표 [0] 2 6 2 3" xfId="257" xr:uid="{00000000-0005-0000-0000-000001010000}"/>
    <cellStyle name="쉼표 [0] 2 6 2 3 2" xfId="669" xr:uid="{00000000-0005-0000-0000-00009D020000}"/>
    <cellStyle name="쉼표 [0] 2 6 2 4" xfId="359" xr:uid="{00000000-0005-0000-0000-000067010000}"/>
    <cellStyle name="쉼표 [0] 2 6 2 4 2" xfId="771" xr:uid="{00000000-0005-0000-0000-000003030000}"/>
    <cellStyle name="쉼표 [0] 2 6 2 5" xfId="465" xr:uid="{00000000-0005-0000-0000-0000D1010000}"/>
    <cellStyle name="쉼표 [0] 2 6 3" xfId="87" xr:uid="{00000000-0005-0000-0000-000057000000}"/>
    <cellStyle name="쉼표 [0] 2 6 3 2" xfId="189" xr:uid="{00000000-0005-0000-0000-0000BD000000}"/>
    <cellStyle name="쉼표 [0] 2 6 3 2 2" xfId="601" xr:uid="{00000000-0005-0000-0000-000059020000}"/>
    <cellStyle name="쉼표 [0] 2 6 3 3" xfId="291" xr:uid="{00000000-0005-0000-0000-000023010000}"/>
    <cellStyle name="쉼표 [0] 2 6 3 3 2" xfId="703" xr:uid="{00000000-0005-0000-0000-0000BF020000}"/>
    <cellStyle name="쉼표 [0] 2 6 3 4" xfId="393" xr:uid="{00000000-0005-0000-0000-000089010000}"/>
    <cellStyle name="쉼표 [0] 2 6 3 4 2" xfId="805" xr:uid="{00000000-0005-0000-0000-000025030000}"/>
    <cellStyle name="쉼표 [0] 2 6 3 5" xfId="499" xr:uid="{00000000-0005-0000-0000-0000F3010000}"/>
    <cellStyle name="쉼표 [0] 2 6 4" xfId="121" xr:uid="{00000000-0005-0000-0000-000079000000}"/>
    <cellStyle name="쉼표 [0] 2 6 4 2" xfId="533" xr:uid="{00000000-0005-0000-0000-000015020000}"/>
    <cellStyle name="쉼표 [0] 2 6 5" xfId="223" xr:uid="{00000000-0005-0000-0000-0000DF000000}"/>
    <cellStyle name="쉼표 [0] 2 6 5 2" xfId="635" xr:uid="{00000000-0005-0000-0000-00007B020000}"/>
    <cellStyle name="쉼표 [0] 2 6 6" xfId="325" xr:uid="{00000000-0005-0000-0000-000045010000}"/>
    <cellStyle name="쉼표 [0] 2 6 6 2" xfId="737" xr:uid="{00000000-0005-0000-0000-0000E1020000}"/>
    <cellStyle name="쉼표 [0] 2 6 7" xfId="431" xr:uid="{00000000-0005-0000-0000-0000AF010000}"/>
    <cellStyle name="쉼표 [0] 2 7" xfId="23" xr:uid="{00000000-0005-0000-0000-000017000000}"/>
    <cellStyle name="쉼표 [0] 2 7 2" xfId="57" xr:uid="{00000000-0005-0000-0000-000039000000}"/>
    <cellStyle name="쉼표 [0] 2 7 2 2" xfId="159" xr:uid="{00000000-0005-0000-0000-00009F000000}"/>
    <cellStyle name="쉼표 [0] 2 7 2 2 2" xfId="571" xr:uid="{00000000-0005-0000-0000-00003B020000}"/>
    <cellStyle name="쉼표 [0] 2 7 2 3" xfId="261" xr:uid="{00000000-0005-0000-0000-000005010000}"/>
    <cellStyle name="쉼표 [0] 2 7 2 3 2" xfId="673" xr:uid="{00000000-0005-0000-0000-0000A1020000}"/>
    <cellStyle name="쉼표 [0] 2 7 2 4" xfId="363" xr:uid="{00000000-0005-0000-0000-00006B010000}"/>
    <cellStyle name="쉼표 [0] 2 7 2 4 2" xfId="775" xr:uid="{00000000-0005-0000-0000-000007030000}"/>
    <cellStyle name="쉼표 [0] 2 7 2 5" xfId="469" xr:uid="{00000000-0005-0000-0000-0000D5010000}"/>
    <cellStyle name="쉼표 [0] 2 7 3" xfId="91" xr:uid="{00000000-0005-0000-0000-00005B000000}"/>
    <cellStyle name="쉼표 [0] 2 7 3 2" xfId="193" xr:uid="{00000000-0005-0000-0000-0000C1000000}"/>
    <cellStyle name="쉼표 [0] 2 7 3 2 2" xfId="605" xr:uid="{00000000-0005-0000-0000-00005D020000}"/>
    <cellStyle name="쉼표 [0] 2 7 3 3" xfId="295" xr:uid="{00000000-0005-0000-0000-000027010000}"/>
    <cellStyle name="쉼표 [0] 2 7 3 3 2" xfId="707" xr:uid="{00000000-0005-0000-0000-0000C3020000}"/>
    <cellStyle name="쉼표 [0] 2 7 3 4" xfId="397" xr:uid="{00000000-0005-0000-0000-00008D010000}"/>
    <cellStyle name="쉼표 [0] 2 7 3 4 2" xfId="809" xr:uid="{00000000-0005-0000-0000-000029030000}"/>
    <cellStyle name="쉼표 [0] 2 7 3 5" xfId="503" xr:uid="{00000000-0005-0000-0000-0000F7010000}"/>
    <cellStyle name="쉼표 [0] 2 7 4" xfId="125" xr:uid="{00000000-0005-0000-0000-00007D000000}"/>
    <cellStyle name="쉼표 [0] 2 7 4 2" xfId="537" xr:uid="{00000000-0005-0000-0000-000019020000}"/>
    <cellStyle name="쉼표 [0] 2 7 5" xfId="227" xr:uid="{00000000-0005-0000-0000-0000E3000000}"/>
    <cellStyle name="쉼표 [0] 2 7 5 2" xfId="639" xr:uid="{00000000-0005-0000-0000-00007F020000}"/>
    <cellStyle name="쉼표 [0] 2 7 6" xfId="329" xr:uid="{00000000-0005-0000-0000-000049010000}"/>
    <cellStyle name="쉼표 [0] 2 7 6 2" xfId="741" xr:uid="{00000000-0005-0000-0000-0000E5020000}"/>
    <cellStyle name="쉼표 [0] 2 7 7" xfId="435" xr:uid="{00000000-0005-0000-0000-0000B3010000}"/>
    <cellStyle name="쉼표 [0] 2 8" xfId="27" xr:uid="{00000000-0005-0000-0000-00001B000000}"/>
    <cellStyle name="쉼표 [0] 2 8 2" xfId="61" xr:uid="{00000000-0005-0000-0000-00003D000000}"/>
    <cellStyle name="쉼표 [0] 2 8 2 2" xfId="163" xr:uid="{00000000-0005-0000-0000-0000A3000000}"/>
    <cellStyle name="쉼표 [0] 2 8 2 2 2" xfId="575" xr:uid="{00000000-0005-0000-0000-00003F020000}"/>
    <cellStyle name="쉼표 [0] 2 8 2 3" xfId="265" xr:uid="{00000000-0005-0000-0000-000009010000}"/>
    <cellStyle name="쉼표 [0] 2 8 2 3 2" xfId="677" xr:uid="{00000000-0005-0000-0000-0000A5020000}"/>
    <cellStyle name="쉼표 [0] 2 8 2 4" xfId="367" xr:uid="{00000000-0005-0000-0000-00006F010000}"/>
    <cellStyle name="쉼표 [0] 2 8 2 4 2" xfId="779" xr:uid="{00000000-0005-0000-0000-00000B030000}"/>
    <cellStyle name="쉼표 [0] 2 8 2 5" xfId="473" xr:uid="{00000000-0005-0000-0000-0000D9010000}"/>
    <cellStyle name="쉼표 [0] 2 8 3" xfId="95" xr:uid="{00000000-0005-0000-0000-00005F000000}"/>
    <cellStyle name="쉼표 [0] 2 8 3 2" xfId="197" xr:uid="{00000000-0005-0000-0000-0000C5000000}"/>
    <cellStyle name="쉼표 [0] 2 8 3 2 2" xfId="609" xr:uid="{00000000-0005-0000-0000-000061020000}"/>
    <cellStyle name="쉼표 [0] 2 8 3 3" xfId="299" xr:uid="{00000000-0005-0000-0000-00002B010000}"/>
    <cellStyle name="쉼표 [0] 2 8 3 3 2" xfId="711" xr:uid="{00000000-0005-0000-0000-0000C7020000}"/>
    <cellStyle name="쉼표 [0] 2 8 3 4" xfId="401" xr:uid="{00000000-0005-0000-0000-000091010000}"/>
    <cellStyle name="쉼표 [0] 2 8 3 4 2" xfId="813" xr:uid="{00000000-0005-0000-0000-00002D030000}"/>
    <cellStyle name="쉼표 [0] 2 8 3 5" xfId="507" xr:uid="{00000000-0005-0000-0000-0000FB010000}"/>
    <cellStyle name="쉼표 [0] 2 8 4" xfId="129" xr:uid="{00000000-0005-0000-0000-000081000000}"/>
    <cellStyle name="쉼표 [0] 2 8 4 2" xfId="541" xr:uid="{00000000-0005-0000-0000-00001D020000}"/>
    <cellStyle name="쉼표 [0] 2 8 5" xfId="231" xr:uid="{00000000-0005-0000-0000-0000E7000000}"/>
    <cellStyle name="쉼표 [0] 2 8 5 2" xfId="643" xr:uid="{00000000-0005-0000-0000-000083020000}"/>
    <cellStyle name="쉼표 [0] 2 8 6" xfId="333" xr:uid="{00000000-0005-0000-0000-00004D010000}"/>
    <cellStyle name="쉼표 [0] 2 8 6 2" xfId="745" xr:uid="{00000000-0005-0000-0000-0000E9020000}"/>
    <cellStyle name="쉼표 [0] 2 8 7" xfId="439" xr:uid="{00000000-0005-0000-0000-0000B7010000}"/>
    <cellStyle name="쉼표 [0] 2 9" xfId="29" xr:uid="{00000000-0005-0000-0000-00001D000000}"/>
    <cellStyle name="쉼표 [0] 2 9 2" xfId="63" xr:uid="{00000000-0005-0000-0000-00003F000000}"/>
    <cellStyle name="쉼표 [0] 2 9 2 2" xfId="165" xr:uid="{00000000-0005-0000-0000-0000A5000000}"/>
    <cellStyle name="쉼표 [0] 2 9 2 2 2" xfId="577" xr:uid="{00000000-0005-0000-0000-000041020000}"/>
    <cellStyle name="쉼표 [0] 2 9 2 3" xfId="267" xr:uid="{00000000-0005-0000-0000-00000B010000}"/>
    <cellStyle name="쉼표 [0] 2 9 2 3 2" xfId="679" xr:uid="{00000000-0005-0000-0000-0000A7020000}"/>
    <cellStyle name="쉼표 [0] 2 9 2 4" xfId="369" xr:uid="{00000000-0005-0000-0000-000071010000}"/>
    <cellStyle name="쉼표 [0] 2 9 2 4 2" xfId="781" xr:uid="{00000000-0005-0000-0000-00000D030000}"/>
    <cellStyle name="쉼표 [0] 2 9 2 5" xfId="475" xr:uid="{00000000-0005-0000-0000-0000DB010000}"/>
    <cellStyle name="쉼표 [0] 2 9 3" xfId="97" xr:uid="{00000000-0005-0000-0000-000061000000}"/>
    <cellStyle name="쉼표 [0] 2 9 3 2" xfId="199" xr:uid="{00000000-0005-0000-0000-0000C7000000}"/>
    <cellStyle name="쉼표 [0] 2 9 3 2 2" xfId="611" xr:uid="{00000000-0005-0000-0000-000063020000}"/>
    <cellStyle name="쉼표 [0] 2 9 3 3" xfId="301" xr:uid="{00000000-0005-0000-0000-00002D010000}"/>
    <cellStyle name="쉼표 [0] 2 9 3 3 2" xfId="713" xr:uid="{00000000-0005-0000-0000-0000C9020000}"/>
    <cellStyle name="쉼표 [0] 2 9 3 4" xfId="403" xr:uid="{00000000-0005-0000-0000-000093010000}"/>
    <cellStyle name="쉼표 [0] 2 9 3 4 2" xfId="815" xr:uid="{00000000-0005-0000-0000-00002F030000}"/>
    <cellStyle name="쉼표 [0] 2 9 3 5" xfId="509" xr:uid="{00000000-0005-0000-0000-0000FD010000}"/>
    <cellStyle name="쉼표 [0] 2 9 4" xfId="131" xr:uid="{00000000-0005-0000-0000-000083000000}"/>
    <cellStyle name="쉼표 [0] 2 9 4 2" xfId="543" xr:uid="{00000000-0005-0000-0000-00001F020000}"/>
    <cellStyle name="쉼표 [0] 2 9 5" xfId="233" xr:uid="{00000000-0005-0000-0000-0000E9000000}"/>
    <cellStyle name="쉼표 [0] 2 9 5 2" xfId="645" xr:uid="{00000000-0005-0000-0000-000085020000}"/>
    <cellStyle name="쉼표 [0] 2 9 6" xfId="335" xr:uid="{00000000-0005-0000-0000-00004F010000}"/>
    <cellStyle name="쉼표 [0] 2 9 6 2" xfId="747" xr:uid="{00000000-0005-0000-0000-0000EB020000}"/>
    <cellStyle name="쉼표 [0] 2 9 7" xfId="441" xr:uid="{00000000-0005-0000-0000-0000B9010000}"/>
    <cellStyle name="쉼표 [0] 3" xfId="4" xr:uid="{00000000-0005-0000-0000-000004000000}"/>
    <cellStyle name="쉼표 [0] 3 10" xfId="72" xr:uid="{00000000-0005-0000-0000-000048000000}"/>
    <cellStyle name="쉼표 [0] 3 10 2" xfId="174" xr:uid="{00000000-0005-0000-0000-0000AE000000}"/>
    <cellStyle name="쉼표 [0] 3 10 2 2" xfId="586" xr:uid="{00000000-0005-0000-0000-00004A020000}"/>
    <cellStyle name="쉼표 [0] 3 10 3" xfId="276" xr:uid="{00000000-0005-0000-0000-000014010000}"/>
    <cellStyle name="쉼표 [0] 3 10 3 2" xfId="688" xr:uid="{00000000-0005-0000-0000-0000B0020000}"/>
    <cellStyle name="쉼표 [0] 3 10 4" xfId="378" xr:uid="{00000000-0005-0000-0000-00007A010000}"/>
    <cellStyle name="쉼표 [0] 3 10 4 2" xfId="790" xr:uid="{00000000-0005-0000-0000-000016030000}"/>
    <cellStyle name="쉼표 [0] 3 10 5" xfId="484" xr:uid="{00000000-0005-0000-0000-0000E4010000}"/>
    <cellStyle name="쉼표 [0] 3 11" xfId="106" xr:uid="{00000000-0005-0000-0000-00006A000000}"/>
    <cellStyle name="쉼표 [0] 3 11 2" xfId="518" xr:uid="{00000000-0005-0000-0000-000006020000}"/>
    <cellStyle name="쉼표 [0] 3 12" xfId="208" xr:uid="{00000000-0005-0000-0000-0000D0000000}"/>
    <cellStyle name="쉼표 [0] 3 12 2" xfId="620" xr:uid="{00000000-0005-0000-0000-00006C020000}"/>
    <cellStyle name="쉼표 [0] 3 13" xfId="310" xr:uid="{00000000-0005-0000-0000-000036010000}"/>
    <cellStyle name="쉼표 [0] 3 13 2" xfId="722" xr:uid="{00000000-0005-0000-0000-0000D2020000}"/>
    <cellStyle name="쉼표 [0] 3 14" xfId="416" xr:uid="{00000000-0005-0000-0000-0000A0010000}"/>
    <cellStyle name="쉼표 [0] 3 2" xfId="8" xr:uid="{00000000-0005-0000-0000-000008000000}"/>
    <cellStyle name="쉼표 [0] 3 2 2" xfId="42" xr:uid="{00000000-0005-0000-0000-00002A000000}"/>
    <cellStyle name="쉼표 [0] 3 2 2 2" xfId="144" xr:uid="{00000000-0005-0000-0000-000090000000}"/>
    <cellStyle name="쉼표 [0] 3 2 2 2 2" xfId="556" xr:uid="{00000000-0005-0000-0000-00002C020000}"/>
    <cellStyle name="쉼표 [0] 3 2 2 3" xfId="246" xr:uid="{00000000-0005-0000-0000-0000F6000000}"/>
    <cellStyle name="쉼표 [0] 3 2 2 3 2" xfId="658" xr:uid="{00000000-0005-0000-0000-000092020000}"/>
    <cellStyle name="쉼표 [0] 3 2 2 4" xfId="348" xr:uid="{00000000-0005-0000-0000-00005C010000}"/>
    <cellStyle name="쉼표 [0] 3 2 2 4 2" xfId="760" xr:uid="{00000000-0005-0000-0000-0000F8020000}"/>
    <cellStyle name="쉼표 [0] 3 2 2 5" xfId="454" xr:uid="{00000000-0005-0000-0000-0000C6010000}"/>
    <cellStyle name="쉼표 [0] 3 2 3" xfId="76" xr:uid="{00000000-0005-0000-0000-00004C000000}"/>
    <cellStyle name="쉼표 [0] 3 2 3 2" xfId="178" xr:uid="{00000000-0005-0000-0000-0000B2000000}"/>
    <cellStyle name="쉼표 [0] 3 2 3 2 2" xfId="590" xr:uid="{00000000-0005-0000-0000-00004E020000}"/>
    <cellStyle name="쉼표 [0] 3 2 3 3" xfId="280" xr:uid="{00000000-0005-0000-0000-000018010000}"/>
    <cellStyle name="쉼표 [0] 3 2 3 3 2" xfId="692" xr:uid="{00000000-0005-0000-0000-0000B4020000}"/>
    <cellStyle name="쉼표 [0] 3 2 3 4" xfId="382" xr:uid="{00000000-0005-0000-0000-00007E010000}"/>
    <cellStyle name="쉼표 [0] 3 2 3 4 2" xfId="794" xr:uid="{00000000-0005-0000-0000-00001A030000}"/>
    <cellStyle name="쉼표 [0] 3 2 3 5" xfId="488" xr:uid="{00000000-0005-0000-0000-0000E8010000}"/>
    <cellStyle name="쉼표 [0] 3 2 4" xfId="110" xr:uid="{00000000-0005-0000-0000-00006E000000}"/>
    <cellStyle name="쉼표 [0] 3 2 4 2" xfId="522" xr:uid="{00000000-0005-0000-0000-00000A020000}"/>
    <cellStyle name="쉼표 [0] 3 2 5" xfId="212" xr:uid="{00000000-0005-0000-0000-0000D4000000}"/>
    <cellStyle name="쉼표 [0] 3 2 5 2" xfId="624" xr:uid="{00000000-0005-0000-0000-000070020000}"/>
    <cellStyle name="쉼표 [0] 3 2 6" xfId="314" xr:uid="{00000000-0005-0000-0000-00003A010000}"/>
    <cellStyle name="쉼표 [0] 3 2 6 2" xfId="726" xr:uid="{00000000-0005-0000-0000-0000D6020000}"/>
    <cellStyle name="쉼표 [0] 3 2 7" xfId="420" xr:uid="{00000000-0005-0000-0000-0000A4010000}"/>
    <cellStyle name="쉼표 [0] 3 3" xfId="12" xr:uid="{00000000-0005-0000-0000-00000C000000}"/>
    <cellStyle name="쉼표 [0] 3 3 2" xfId="46" xr:uid="{00000000-0005-0000-0000-00002E000000}"/>
    <cellStyle name="쉼표 [0] 3 3 2 2" xfId="148" xr:uid="{00000000-0005-0000-0000-000094000000}"/>
    <cellStyle name="쉼표 [0] 3 3 2 2 2" xfId="560" xr:uid="{00000000-0005-0000-0000-000030020000}"/>
    <cellStyle name="쉼표 [0] 3 3 2 3" xfId="250" xr:uid="{00000000-0005-0000-0000-0000FA000000}"/>
    <cellStyle name="쉼표 [0] 3 3 2 3 2" xfId="662" xr:uid="{00000000-0005-0000-0000-000096020000}"/>
    <cellStyle name="쉼표 [0] 3 3 2 4" xfId="352" xr:uid="{00000000-0005-0000-0000-000060010000}"/>
    <cellStyle name="쉼표 [0] 3 3 2 4 2" xfId="764" xr:uid="{00000000-0005-0000-0000-0000FC020000}"/>
    <cellStyle name="쉼표 [0] 3 3 2 5" xfId="458" xr:uid="{00000000-0005-0000-0000-0000CA010000}"/>
    <cellStyle name="쉼표 [0] 3 3 3" xfId="80" xr:uid="{00000000-0005-0000-0000-000050000000}"/>
    <cellStyle name="쉼표 [0] 3 3 3 2" xfId="182" xr:uid="{00000000-0005-0000-0000-0000B6000000}"/>
    <cellStyle name="쉼표 [0] 3 3 3 2 2" xfId="594" xr:uid="{00000000-0005-0000-0000-000052020000}"/>
    <cellStyle name="쉼표 [0] 3 3 3 3" xfId="284" xr:uid="{00000000-0005-0000-0000-00001C010000}"/>
    <cellStyle name="쉼표 [0] 3 3 3 3 2" xfId="696" xr:uid="{00000000-0005-0000-0000-0000B8020000}"/>
    <cellStyle name="쉼표 [0] 3 3 3 4" xfId="386" xr:uid="{00000000-0005-0000-0000-000082010000}"/>
    <cellStyle name="쉼표 [0] 3 3 3 4 2" xfId="798" xr:uid="{00000000-0005-0000-0000-00001E030000}"/>
    <cellStyle name="쉼표 [0] 3 3 3 5" xfId="492" xr:uid="{00000000-0005-0000-0000-0000EC010000}"/>
    <cellStyle name="쉼표 [0] 3 3 4" xfId="114" xr:uid="{00000000-0005-0000-0000-000072000000}"/>
    <cellStyle name="쉼표 [0] 3 3 4 2" xfId="526" xr:uid="{00000000-0005-0000-0000-00000E020000}"/>
    <cellStyle name="쉼표 [0] 3 3 5" xfId="216" xr:uid="{00000000-0005-0000-0000-0000D8000000}"/>
    <cellStyle name="쉼표 [0] 3 3 5 2" xfId="628" xr:uid="{00000000-0005-0000-0000-000074020000}"/>
    <cellStyle name="쉼표 [0] 3 3 6" xfId="318" xr:uid="{00000000-0005-0000-0000-00003E010000}"/>
    <cellStyle name="쉼표 [0] 3 3 6 2" xfId="730" xr:uid="{00000000-0005-0000-0000-0000DA020000}"/>
    <cellStyle name="쉼표 [0] 3 3 7" xfId="424" xr:uid="{00000000-0005-0000-0000-0000A8010000}"/>
    <cellStyle name="쉼표 [0] 3 4" xfId="16" xr:uid="{00000000-0005-0000-0000-000010000000}"/>
    <cellStyle name="쉼표 [0] 3 4 2" xfId="50" xr:uid="{00000000-0005-0000-0000-000032000000}"/>
    <cellStyle name="쉼표 [0] 3 4 2 2" xfId="152" xr:uid="{00000000-0005-0000-0000-000098000000}"/>
    <cellStyle name="쉼표 [0] 3 4 2 2 2" xfId="564" xr:uid="{00000000-0005-0000-0000-000034020000}"/>
    <cellStyle name="쉼표 [0] 3 4 2 3" xfId="254" xr:uid="{00000000-0005-0000-0000-0000FE000000}"/>
    <cellStyle name="쉼표 [0] 3 4 2 3 2" xfId="666" xr:uid="{00000000-0005-0000-0000-00009A020000}"/>
    <cellStyle name="쉼표 [0] 3 4 2 4" xfId="356" xr:uid="{00000000-0005-0000-0000-000064010000}"/>
    <cellStyle name="쉼표 [0] 3 4 2 4 2" xfId="768" xr:uid="{00000000-0005-0000-0000-000000030000}"/>
    <cellStyle name="쉼표 [0] 3 4 2 5" xfId="462" xr:uid="{00000000-0005-0000-0000-0000CE010000}"/>
    <cellStyle name="쉼표 [0] 3 4 3" xfId="84" xr:uid="{00000000-0005-0000-0000-000054000000}"/>
    <cellStyle name="쉼표 [0] 3 4 3 2" xfId="186" xr:uid="{00000000-0005-0000-0000-0000BA000000}"/>
    <cellStyle name="쉼표 [0] 3 4 3 2 2" xfId="598" xr:uid="{00000000-0005-0000-0000-000056020000}"/>
    <cellStyle name="쉼표 [0] 3 4 3 3" xfId="288" xr:uid="{00000000-0005-0000-0000-000020010000}"/>
    <cellStyle name="쉼표 [0] 3 4 3 3 2" xfId="700" xr:uid="{00000000-0005-0000-0000-0000BC020000}"/>
    <cellStyle name="쉼표 [0] 3 4 3 4" xfId="390" xr:uid="{00000000-0005-0000-0000-000086010000}"/>
    <cellStyle name="쉼표 [0] 3 4 3 4 2" xfId="802" xr:uid="{00000000-0005-0000-0000-000022030000}"/>
    <cellStyle name="쉼표 [0] 3 4 3 5" xfId="496" xr:uid="{00000000-0005-0000-0000-0000F0010000}"/>
    <cellStyle name="쉼표 [0] 3 4 4" xfId="118" xr:uid="{00000000-0005-0000-0000-000076000000}"/>
    <cellStyle name="쉼표 [0] 3 4 4 2" xfId="530" xr:uid="{00000000-0005-0000-0000-000012020000}"/>
    <cellStyle name="쉼표 [0] 3 4 5" xfId="220" xr:uid="{00000000-0005-0000-0000-0000DC000000}"/>
    <cellStyle name="쉼표 [0] 3 4 5 2" xfId="632" xr:uid="{00000000-0005-0000-0000-000078020000}"/>
    <cellStyle name="쉼표 [0] 3 4 6" xfId="322" xr:uid="{00000000-0005-0000-0000-000042010000}"/>
    <cellStyle name="쉼표 [0] 3 4 6 2" xfId="734" xr:uid="{00000000-0005-0000-0000-0000DE020000}"/>
    <cellStyle name="쉼표 [0] 3 4 7" xfId="428" xr:uid="{00000000-0005-0000-0000-0000AC010000}"/>
    <cellStyle name="쉼표 [0] 3 5" xfId="20" xr:uid="{00000000-0005-0000-0000-000014000000}"/>
    <cellStyle name="쉼표 [0] 3 5 2" xfId="54" xr:uid="{00000000-0005-0000-0000-000036000000}"/>
    <cellStyle name="쉼표 [0] 3 5 2 2" xfId="156" xr:uid="{00000000-0005-0000-0000-00009C000000}"/>
    <cellStyle name="쉼표 [0] 3 5 2 2 2" xfId="568" xr:uid="{00000000-0005-0000-0000-000038020000}"/>
    <cellStyle name="쉼표 [0] 3 5 2 3" xfId="258" xr:uid="{00000000-0005-0000-0000-000002010000}"/>
    <cellStyle name="쉼표 [0] 3 5 2 3 2" xfId="670" xr:uid="{00000000-0005-0000-0000-00009E020000}"/>
    <cellStyle name="쉼표 [0] 3 5 2 4" xfId="360" xr:uid="{00000000-0005-0000-0000-000068010000}"/>
    <cellStyle name="쉼표 [0] 3 5 2 4 2" xfId="772" xr:uid="{00000000-0005-0000-0000-000004030000}"/>
    <cellStyle name="쉼표 [0] 3 5 2 5" xfId="466" xr:uid="{00000000-0005-0000-0000-0000D2010000}"/>
    <cellStyle name="쉼표 [0] 3 5 3" xfId="88" xr:uid="{00000000-0005-0000-0000-000058000000}"/>
    <cellStyle name="쉼표 [0] 3 5 3 2" xfId="190" xr:uid="{00000000-0005-0000-0000-0000BE000000}"/>
    <cellStyle name="쉼표 [0] 3 5 3 2 2" xfId="602" xr:uid="{00000000-0005-0000-0000-00005A020000}"/>
    <cellStyle name="쉼표 [0] 3 5 3 3" xfId="292" xr:uid="{00000000-0005-0000-0000-000024010000}"/>
    <cellStyle name="쉼표 [0] 3 5 3 3 2" xfId="704" xr:uid="{00000000-0005-0000-0000-0000C0020000}"/>
    <cellStyle name="쉼표 [0] 3 5 3 4" xfId="394" xr:uid="{00000000-0005-0000-0000-00008A010000}"/>
    <cellStyle name="쉼표 [0] 3 5 3 4 2" xfId="806" xr:uid="{00000000-0005-0000-0000-000026030000}"/>
    <cellStyle name="쉼표 [0] 3 5 3 5" xfId="500" xr:uid="{00000000-0005-0000-0000-0000F4010000}"/>
    <cellStyle name="쉼표 [0] 3 5 4" xfId="122" xr:uid="{00000000-0005-0000-0000-00007A000000}"/>
    <cellStyle name="쉼표 [0] 3 5 4 2" xfId="534" xr:uid="{00000000-0005-0000-0000-000016020000}"/>
    <cellStyle name="쉼표 [0] 3 5 5" xfId="224" xr:uid="{00000000-0005-0000-0000-0000E0000000}"/>
    <cellStyle name="쉼표 [0] 3 5 5 2" xfId="636" xr:uid="{00000000-0005-0000-0000-00007C020000}"/>
    <cellStyle name="쉼표 [0] 3 5 6" xfId="326" xr:uid="{00000000-0005-0000-0000-000046010000}"/>
    <cellStyle name="쉼표 [0] 3 5 6 2" xfId="738" xr:uid="{00000000-0005-0000-0000-0000E2020000}"/>
    <cellStyle name="쉼표 [0] 3 5 7" xfId="432" xr:uid="{00000000-0005-0000-0000-0000B0010000}"/>
    <cellStyle name="쉼표 [0] 3 6" xfId="24" xr:uid="{00000000-0005-0000-0000-000018000000}"/>
    <cellStyle name="쉼표 [0] 3 6 2" xfId="58" xr:uid="{00000000-0005-0000-0000-00003A000000}"/>
    <cellStyle name="쉼표 [0] 3 6 2 2" xfId="160" xr:uid="{00000000-0005-0000-0000-0000A0000000}"/>
    <cellStyle name="쉼표 [0] 3 6 2 2 2" xfId="572" xr:uid="{00000000-0005-0000-0000-00003C020000}"/>
    <cellStyle name="쉼표 [0] 3 6 2 3" xfId="262" xr:uid="{00000000-0005-0000-0000-000006010000}"/>
    <cellStyle name="쉼표 [0] 3 6 2 3 2" xfId="674" xr:uid="{00000000-0005-0000-0000-0000A2020000}"/>
    <cellStyle name="쉼표 [0] 3 6 2 4" xfId="364" xr:uid="{00000000-0005-0000-0000-00006C010000}"/>
    <cellStyle name="쉼표 [0] 3 6 2 4 2" xfId="776" xr:uid="{00000000-0005-0000-0000-000008030000}"/>
    <cellStyle name="쉼표 [0] 3 6 2 5" xfId="470" xr:uid="{00000000-0005-0000-0000-0000D6010000}"/>
    <cellStyle name="쉼표 [0] 3 6 3" xfId="92" xr:uid="{00000000-0005-0000-0000-00005C000000}"/>
    <cellStyle name="쉼표 [0] 3 6 3 2" xfId="194" xr:uid="{00000000-0005-0000-0000-0000C2000000}"/>
    <cellStyle name="쉼표 [0] 3 6 3 2 2" xfId="606" xr:uid="{00000000-0005-0000-0000-00005E020000}"/>
    <cellStyle name="쉼표 [0] 3 6 3 3" xfId="296" xr:uid="{00000000-0005-0000-0000-000028010000}"/>
    <cellStyle name="쉼표 [0] 3 6 3 3 2" xfId="708" xr:uid="{00000000-0005-0000-0000-0000C4020000}"/>
    <cellStyle name="쉼표 [0] 3 6 3 4" xfId="398" xr:uid="{00000000-0005-0000-0000-00008E010000}"/>
    <cellStyle name="쉼표 [0] 3 6 3 4 2" xfId="810" xr:uid="{00000000-0005-0000-0000-00002A030000}"/>
    <cellStyle name="쉼표 [0] 3 6 3 5" xfId="504" xr:uid="{00000000-0005-0000-0000-0000F8010000}"/>
    <cellStyle name="쉼표 [0] 3 6 4" xfId="126" xr:uid="{00000000-0005-0000-0000-00007E000000}"/>
    <cellStyle name="쉼표 [0] 3 6 4 2" xfId="538" xr:uid="{00000000-0005-0000-0000-00001A020000}"/>
    <cellStyle name="쉼표 [0] 3 6 5" xfId="228" xr:uid="{00000000-0005-0000-0000-0000E4000000}"/>
    <cellStyle name="쉼표 [0] 3 6 5 2" xfId="640" xr:uid="{00000000-0005-0000-0000-000080020000}"/>
    <cellStyle name="쉼표 [0] 3 6 6" xfId="330" xr:uid="{00000000-0005-0000-0000-00004A010000}"/>
    <cellStyle name="쉼표 [0] 3 6 6 2" xfId="742" xr:uid="{00000000-0005-0000-0000-0000E6020000}"/>
    <cellStyle name="쉼표 [0] 3 6 7" xfId="436" xr:uid="{00000000-0005-0000-0000-0000B4010000}"/>
    <cellStyle name="쉼표 [0] 3 7" xfId="30" xr:uid="{00000000-0005-0000-0000-00001E000000}"/>
    <cellStyle name="쉼표 [0] 3 7 2" xfId="64" xr:uid="{00000000-0005-0000-0000-000040000000}"/>
    <cellStyle name="쉼표 [0] 3 7 2 2" xfId="166" xr:uid="{00000000-0005-0000-0000-0000A6000000}"/>
    <cellStyle name="쉼표 [0] 3 7 2 2 2" xfId="578" xr:uid="{00000000-0005-0000-0000-000042020000}"/>
    <cellStyle name="쉼표 [0] 3 7 2 3" xfId="268" xr:uid="{00000000-0005-0000-0000-00000C010000}"/>
    <cellStyle name="쉼표 [0] 3 7 2 3 2" xfId="680" xr:uid="{00000000-0005-0000-0000-0000A8020000}"/>
    <cellStyle name="쉼표 [0] 3 7 2 4" xfId="370" xr:uid="{00000000-0005-0000-0000-000072010000}"/>
    <cellStyle name="쉼표 [0] 3 7 2 4 2" xfId="782" xr:uid="{00000000-0005-0000-0000-00000E030000}"/>
    <cellStyle name="쉼표 [0] 3 7 2 5" xfId="476" xr:uid="{00000000-0005-0000-0000-0000DC010000}"/>
    <cellStyle name="쉼표 [0] 3 7 3" xfId="98" xr:uid="{00000000-0005-0000-0000-000062000000}"/>
    <cellStyle name="쉼표 [0] 3 7 3 2" xfId="200" xr:uid="{00000000-0005-0000-0000-0000C8000000}"/>
    <cellStyle name="쉼표 [0] 3 7 3 2 2" xfId="612" xr:uid="{00000000-0005-0000-0000-000064020000}"/>
    <cellStyle name="쉼표 [0] 3 7 3 3" xfId="302" xr:uid="{00000000-0005-0000-0000-00002E010000}"/>
    <cellStyle name="쉼표 [0] 3 7 3 3 2" xfId="714" xr:uid="{00000000-0005-0000-0000-0000CA020000}"/>
    <cellStyle name="쉼표 [0] 3 7 3 4" xfId="404" xr:uid="{00000000-0005-0000-0000-000094010000}"/>
    <cellStyle name="쉼표 [0] 3 7 3 4 2" xfId="816" xr:uid="{00000000-0005-0000-0000-000030030000}"/>
    <cellStyle name="쉼표 [0] 3 7 3 5" xfId="510" xr:uid="{00000000-0005-0000-0000-0000FE010000}"/>
    <cellStyle name="쉼표 [0] 3 7 4" xfId="132" xr:uid="{00000000-0005-0000-0000-000084000000}"/>
    <cellStyle name="쉼표 [0] 3 7 4 2" xfId="544" xr:uid="{00000000-0005-0000-0000-000020020000}"/>
    <cellStyle name="쉼표 [0] 3 7 5" xfId="234" xr:uid="{00000000-0005-0000-0000-0000EA000000}"/>
    <cellStyle name="쉼표 [0] 3 7 5 2" xfId="646" xr:uid="{00000000-0005-0000-0000-000086020000}"/>
    <cellStyle name="쉼표 [0] 3 7 6" xfId="336" xr:uid="{00000000-0005-0000-0000-000050010000}"/>
    <cellStyle name="쉼표 [0] 3 7 6 2" xfId="748" xr:uid="{00000000-0005-0000-0000-0000EC020000}"/>
    <cellStyle name="쉼표 [0] 3 7 7" xfId="442" xr:uid="{00000000-0005-0000-0000-0000BA010000}"/>
    <cellStyle name="쉼표 [0] 3 8" xfId="34" xr:uid="{00000000-0005-0000-0000-000022000000}"/>
    <cellStyle name="쉼표 [0] 3 8 2" xfId="68" xr:uid="{00000000-0005-0000-0000-000044000000}"/>
    <cellStyle name="쉼표 [0] 3 8 2 2" xfId="170" xr:uid="{00000000-0005-0000-0000-0000AA000000}"/>
    <cellStyle name="쉼표 [0] 3 8 2 2 2" xfId="582" xr:uid="{00000000-0005-0000-0000-000046020000}"/>
    <cellStyle name="쉼표 [0] 3 8 2 3" xfId="272" xr:uid="{00000000-0005-0000-0000-000010010000}"/>
    <cellStyle name="쉼표 [0] 3 8 2 3 2" xfId="684" xr:uid="{00000000-0005-0000-0000-0000AC020000}"/>
    <cellStyle name="쉼표 [0] 3 8 2 4" xfId="374" xr:uid="{00000000-0005-0000-0000-000076010000}"/>
    <cellStyle name="쉼표 [0] 3 8 2 4 2" xfId="786" xr:uid="{00000000-0005-0000-0000-000012030000}"/>
    <cellStyle name="쉼표 [0] 3 8 2 5" xfId="480" xr:uid="{00000000-0005-0000-0000-0000E0010000}"/>
    <cellStyle name="쉼표 [0] 3 8 3" xfId="102" xr:uid="{00000000-0005-0000-0000-000066000000}"/>
    <cellStyle name="쉼표 [0] 3 8 3 2" xfId="204" xr:uid="{00000000-0005-0000-0000-0000CC000000}"/>
    <cellStyle name="쉼표 [0] 3 8 3 2 2" xfId="616" xr:uid="{00000000-0005-0000-0000-000068020000}"/>
    <cellStyle name="쉼표 [0] 3 8 3 3" xfId="306" xr:uid="{00000000-0005-0000-0000-000032010000}"/>
    <cellStyle name="쉼표 [0] 3 8 3 3 2" xfId="718" xr:uid="{00000000-0005-0000-0000-0000CE020000}"/>
    <cellStyle name="쉼표 [0] 3 8 3 4" xfId="408" xr:uid="{00000000-0005-0000-0000-000098010000}"/>
    <cellStyle name="쉼표 [0] 3 8 3 4 2" xfId="820" xr:uid="{00000000-0005-0000-0000-000034030000}"/>
    <cellStyle name="쉼표 [0] 3 8 3 5" xfId="514" xr:uid="{00000000-0005-0000-0000-000002020000}"/>
    <cellStyle name="쉼표 [0] 3 8 4" xfId="136" xr:uid="{00000000-0005-0000-0000-000088000000}"/>
    <cellStyle name="쉼표 [0] 3 8 4 2" xfId="548" xr:uid="{00000000-0005-0000-0000-000024020000}"/>
    <cellStyle name="쉼표 [0] 3 8 5" xfId="238" xr:uid="{00000000-0005-0000-0000-0000EE000000}"/>
    <cellStyle name="쉼표 [0] 3 8 5 2" xfId="650" xr:uid="{00000000-0005-0000-0000-00008A020000}"/>
    <cellStyle name="쉼표 [0] 3 8 6" xfId="340" xr:uid="{00000000-0005-0000-0000-000054010000}"/>
    <cellStyle name="쉼표 [0] 3 8 6 2" xfId="752" xr:uid="{00000000-0005-0000-0000-0000F0020000}"/>
    <cellStyle name="쉼표 [0] 3 8 7" xfId="446" xr:uid="{00000000-0005-0000-0000-0000BE010000}"/>
    <cellStyle name="쉼표 [0] 3 9" xfId="38" xr:uid="{00000000-0005-0000-0000-000026000000}"/>
    <cellStyle name="쉼표 [0] 3 9 2" xfId="140" xr:uid="{00000000-0005-0000-0000-00008C000000}"/>
    <cellStyle name="쉼표 [0] 3 9 2 2" xfId="552" xr:uid="{00000000-0005-0000-0000-000028020000}"/>
    <cellStyle name="쉼표 [0] 3 9 3" xfId="242" xr:uid="{00000000-0005-0000-0000-0000F2000000}"/>
    <cellStyle name="쉼표 [0] 3 9 3 2" xfId="654" xr:uid="{00000000-0005-0000-0000-00008E020000}"/>
    <cellStyle name="쉼표 [0] 3 9 4" xfId="344" xr:uid="{00000000-0005-0000-0000-000058010000}"/>
    <cellStyle name="쉼표 [0] 3 9 4 2" xfId="756" xr:uid="{00000000-0005-0000-0000-0000F4020000}"/>
    <cellStyle name="쉼표 [0] 3 9 5" xfId="450" xr:uid="{00000000-0005-0000-0000-0000C2010000}"/>
    <cellStyle name="쉼표 [0] 4" xfId="6" xr:uid="{00000000-0005-0000-0000-000006000000}"/>
    <cellStyle name="쉼표 [0] 4 2" xfId="40" xr:uid="{00000000-0005-0000-0000-000028000000}"/>
    <cellStyle name="쉼표 [0] 4 2 2" xfId="142" xr:uid="{00000000-0005-0000-0000-00008E000000}"/>
    <cellStyle name="쉼표 [0] 4 2 2 2" xfId="554" xr:uid="{00000000-0005-0000-0000-00002A020000}"/>
    <cellStyle name="쉼표 [0] 4 2 3" xfId="244" xr:uid="{00000000-0005-0000-0000-0000F4000000}"/>
    <cellStyle name="쉼표 [0] 4 2 3 2" xfId="656" xr:uid="{00000000-0005-0000-0000-000090020000}"/>
    <cellStyle name="쉼표 [0] 4 2 4" xfId="346" xr:uid="{00000000-0005-0000-0000-00005A010000}"/>
    <cellStyle name="쉼표 [0] 4 2 4 2" xfId="758" xr:uid="{00000000-0005-0000-0000-0000F6020000}"/>
    <cellStyle name="쉼표 [0] 4 2 5" xfId="452" xr:uid="{00000000-0005-0000-0000-0000C4010000}"/>
    <cellStyle name="쉼표 [0] 4 3" xfId="74" xr:uid="{00000000-0005-0000-0000-00004A000000}"/>
    <cellStyle name="쉼표 [0] 4 3 2" xfId="176" xr:uid="{00000000-0005-0000-0000-0000B0000000}"/>
    <cellStyle name="쉼표 [0] 4 3 2 2" xfId="588" xr:uid="{00000000-0005-0000-0000-00004C020000}"/>
    <cellStyle name="쉼표 [0] 4 3 3" xfId="278" xr:uid="{00000000-0005-0000-0000-000016010000}"/>
    <cellStyle name="쉼표 [0] 4 3 3 2" xfId="690" xr:uid="{00000000-0005-0000-0000-0000B2020000}"/>
    <cellStyle name="쉼표 [0] 4 3 4" xfId="380" xr:uid="{00000000-0005-0000-0000-00007C010000}"/>
    <cellStyle name="쉼표 [0] 4 3 4 2" xfId="792" xr:uid="{00000000-0005-0000-0000-000018030000}"/>
    <cellStyle name="쉼표 [0] 4 3 5" xfId="486" xr:uid="{00000000-0005-0000-0000-0000E6010000}"/>
    <cellStyle name="쉼표 [0] 4 4" xfId="108" xr:uid="{00000000-0005-0000-0000-00006C000000}"/>
    <cellStyle name="쉼표 [0] 4 4 2" xfId="520" xr:uid="{00000000-0005-0000-0000-000008020000}"/>
    <cellStyle name="쉼표 [0] 4 5" xfId="210" xr:uid="{00000000-0005-0000-0000-0000D2000000}"/>
    <cellStyle name="쉼표 [0] 4 5 2" xfId="622" xr:uid="{00000000-0005-0000-0000-00006E020000}"/>
    <cellStyle name="쉼표 [0] 4 6" xfId="312" xr:uid="{00000000-0005-0000-0000-000038010000}"/>
    <cellStyle name="쉼표 [0] 4 6 2" xfId="724" xr:uid="{00000000-0005-0000-0000-0000D4020000}"/>
    <cellStyle name="쉼표 [0] 4 7" xfId="418" xr:uid="{00000000-0005-0000-0000-0000A2010000}"/>
    <cellStyle name="쉼표 [0] 5" xfId="10" xr:uid="{00000000-0005-0000-0000-00000A000000}"/>
    <cellStyle name="쉼표 [0] 5 2" xfId="44" xr:uid="{00000000-0005-0000-0000-00002C000000}"/>
    <cellStyle name="쉼표 [0] 5 2 2" xfId="146" xr:uid="{00000000-0005-0000-0000-000092000000}"/>
    <cellStyle name="쉼표 [0] 5 2 2 2" xfId="558" xr:uid="{00000000-0005-0000-0000-00002E020000}"/>
    <cellStyle name="쉼표 [0] 5 2 3" xfId="248" xr:uid="{00000000-0005-0000-0000-0000F8000000}"/>
    <cellStyle name="쉼표 [0] 5 2 3 2" xfId="660" xr:uid="{00000000-0005-0000-0000-000094020000}"/>
    <cellStyle name="쉼표 [0] 5 2 4" xfId="350" xr:uid="{00000000-0005-0000-0000-00005E010000}"/>
    <cellStyle name="쉼표 [0] 5 2 4 2" xfId="762" xr:uid="{00000000-0005-0000-0000-0000FA020000}"/>
    <cellStyle name="쉼표 [0] 5 2 5" xfId="456" xr:uid="{00000000-0005-0000-0000-0000C8010000}"/>
    <cellStyle name="쉼표 [0] 5 3" xfId="78" xr:uid="{00000000-0005-0000-0000-00004E000000}"/>
    <cellStyle name="쉼표 [0] 5 3 2" xfId="180" xr:uid="{00000000-0005-0000-0000-0000B4000000}"/>
    <cellStyle name="쉼표 [0] 5 3 2 2" xfId="592" xr:uid="{00000000-0005-0000-0000-000050020000}"/>
    <cellStyle name="쉼표 [0] 5 3 3" xfId="282" xr:uid="{00000000-0005-0000-0000-00001A010000}"/>
    <cellStyle name="쉼표 [0] 5 3 3 2" xfId="694" xr:uid="{00000000-0005-0000-0000-0000B6020000}"/>
    <cellStyle name="쉼표 [0] 5 3 4" xfId="384" xr:uid="{00000000-0005-0000-0000-000080010000}"/>
    <cellStyle name="쉼표 [0] 5 3 4 2" xfId="796" xr:uid="{00000000-0005-0000-0000-00001C030000}"/>
    <cellStyle name="쉼표 [0] 5 3 5" xfId="490" xr:uid="{00000000-0005-0000-0000-0000EA010000}"/>
    <cellStyle name="쉼표 [0] 5 4" xfId="112" xr:uid="{00000000-0005-0000-0000-000070000000}"/>
    <cellStyle name="쉼표 [0] 5 4 2" xfId="524" xr:uid="{00000000-0005-0000-0000-00000C020000}"/>
    <cellStyle name="쉼표 [0] 5 5" xfId="214" xr:uid="{00000000-0005-0000-0000-0000D6000000}"/>
    <cellStyle name="쉼표 [0] 5 5 2" xfId="626" xr:uid="{00000000-0005-0000-0000-000072020000}"/>
    <cellStyle name="쉼표 [0] 5 6" xfId="316" xr:uid="{00000000-0005-0000-0000-00003C010000}"/>
    <cellStyle name="쉼표 [0] 5 6 2" xfId="728" xr:uid="{00000000-0005-0000-0000-0000D8020000}"/>
    <cellStyle name="쉼표 [0] 5 7" xfId="422" xr:uid="{00000000-0005-0000-0000-0000A6010000}"/>
    <cellStyle name="쉼표 [0] 6" xfId="14" xr:uid="{00000000-0005-0000-0000-00000E000000}"/>
    <cellStyle name="쉼표 [0] 6 2" xfId="48" xr:uid="{00000000-0005-0000-0000-000030000000}"/>
    <cellStyle name="쉼표 [0] 6 2 2" xfId="150" xr:uid="{00000000-0005-0000-0000-000096000000}"/>
    <cellStyle name="쉼표 [0] 6 2 2 2" xfId="562" xr:uid="{00000000-0005-0000-0000-000032020000}"/>
    <cellStyle name="쉼표 [0] 6 2 3" xfId="252" xr:uid="{00000000-0005-0000-0000-0000FC000000}"/>
    <cellStyle name="쉼표 [0] 6 2 3 2" xfId="664" xr:uid="{00000000-0005-0000-0000-000098020000}"/>
    <cellStyle name="쉼표 [0] 6 2 4" xfId="354" xr:uid="{00000000-0005-0000-0000-000062010000}"/>
    <cellStyle name="쉼표 [0] 6 2 4 2" xfId="766" xr:uid="{00000000-0005-0000-0000-0000FE020000}"/>
    <cellStyle name="쉼표 [0] 6 2 5" xfId="460" xr:uid="{00000000-0005-0000-0000-0000CC010000}"/>
    <cellStyle name="쉼표 [0] 6 3" xfId="82" xr:uid="{00000000-0005-0000-0000-000052000000}"/>
    <cellStyle name="쉼표 [0] 6 3 2" xfId="184" xr:uid="{00000000-0005-0000-0000-0000B8000000}"/>
    <cellStyle name="쉼표 [0] 6 3 2 2" xfId="596" xr:uid="{00000000-0005-0000-0000-000054020000}"/>
    <cellStyle name="쉼표 [0] 6 3 3" xfId="286" xr:uid="{00000000-0005-0000-0000-00001E010000}"/>
    <cellStyle name="쉼표 [0] 6 3 3 2" xfId="698" xr:uid="{00000000-0005-0000-0000-0000BA020000}"/>
    <cellStyle name="쉼표 [0] 6 3 4" xfId="388" xr:uid="{00000000-0005-0000-0000-000084010000}"/>
    <cellStyle name="쉼표 [0] 6 3 4 2" xfId="800" xr:uid="{00000000-0005-0000-0000-000020030000}"/>
    <cellStyle name="쉼표 [0] 6 3 5" xfId="494" xr:uid="{00000000-0005-0000-0000-0000EE010000}"/>
    <cellStyle name="쉼표 [0] 6 4" xfId="116" xr:uid="{00000000-0005-0000-0000-000074000000}"/>
    <cellStyle name="쉼표 [0] 6 4 2" xfId="528" xr:uid="{00000000-0005-0000-0000-000010020000}"/>
    <cellStyle name="쉼표 [0] 6 5" xfId="218" xr:uid="{00000000-0005-0000-0000-0000DA000000}"/>
    <cellStyle name="쉼표 [0] 6 5 2" xfId="630" xr:uid="{00000000-0005-0000-0000-000076020000}"/>
    <cellStyle name="쉼표 [0] 6 6" xfId="320" xr:uid="{00000000-0005-0000-0000-000040010000}"/>
    <cellStyle name="쉼표 [0] 6 6 2" xfId="732" xr:uid="{00000000-0005-0000-0000-0000DC020000}"/>
    <cellStyle name="쉼표 [0] 6 7" xfId="426" xr:uid="{00000000-0005-0000-0000-0000AA010000}"/>
    <cellStyle name="쉼표 [0] 7" xfId="18" xr:uid="{00000000-0005-0000-0000-000012000000}"/>
    <cellStyle name="쉼표 [0] 7 2" xfId="52" xr:uid="{00000000-0005-0000-0000-000034000000}"/>
    <cellStyle name="쉼표 [0] 7 2 2" xfId="154" xr:uid="{00000000-0005-0000-0000-00009A000000}"/>
    <cellStyle name="쉼표 [0] 7 2 2 2" xfId="566" xr:uid="{00000000-0005-0000-0000-000036020000}"/>
    <cellStyle name="쉼표 [0] 7 2 3" xfId="256" xr:uid="{00000000-0005-0000-0000-000000010000}"/>
    <cellStyle name="쉼표 [0] 7 2 3 2" xfId="668" xr:uid="{00000000-0005-0000-0000-00009C020000}"/>
    <cellStyle name="쉼표 [0] 7 2 4" xfId="358" xr:uid="{00000000-0005-0000-0000-000066010000}"/>
    <cellStyle name="쉼표 [0] 7 2 4 2" xfId="770" xr:uid="{00000000-0005-0000-0000-000002030000}"/>
    <cellStyle name="쉼표 [0] 7 2 5" xfId="464" xr:uid="{00000000-0005-0000-0000-0000D0010000}"/>
    <cellStyle name="쉼표 [0] 7 3" xfId="86" xr:uid="{00000000-0005-0000-0000-000056000000}"/>
    <cellStyle name="쉼표 [0] 7 3 2" xfId="188" xr:uid="{00000000-0005-0000-0000-0000BC000000}"/>
    <cellStyle name="쉼표 [0] 7 3 2 2" xfId="600" xr:uid="{00000000-0005-0000-0000-000058020000}"/>
    <cellStyle name="쉼표 [0] 7 3 3" xfId="290" xr:uid="{00000000-0005-0000-0000-000022010000}"/>
    <cellStyle name="쉼표 [0] 7 3 3 2" xfId="702" xr:uid="{00000000-0005-0000-0000-0000BE020000}"/>
    <cellStyle name="쉼표 [0] 7 3 4" xfId="392" xr:uid="{00000000-0005-0000-0000-000088010000}"/>
    <cellStyle name="쉼표 [0] 7 3 4 2" xfId="804" xr:uid="{00000000-0005-0000-0000-000024030000}"/>
    <cellStyle name="쉼표 [0] 7 3 5" xfId="498" xr:uid="{00000000-0005-0000-0000-0000F2010000}"/>
    <cellStyle name="쉼표 [0] 7 4" xfId="120" xr:uid="{00000000-0005-0000-0000-000078000000}"/>
    <cellStyle name="쉼표 [0] 7 4 2" xfId="532" xr:uid="{00000000-0005-0000-0000-000014020000}"/>
    <cellStyle name="쉼표 [0] 7 5" xfId="222" xr:uid="{00000000-0005-0000-0000-0000DE000000}"/>
    <cellStyle name="쉼표 [0] 7 5 2" xfId="634" xr:uid="{00000000-0005-0000-0000-00007A020000}"/>
    <cellStyle name="쉼표 [0] 7 6" xfId="324" xr:uid="{00000000-0005-0000-0000-000044010000}"/>
    <cellStyle name="쉼표 [0] 7 6 2" xfId="736" xr:uid="{00000000-0005-0000-0000-0000E0020000}"/>
    <cellStyle name="쉼표 [0] 7 7" xfId="430" xr:uid="{00000000-0005-0000-0000-0000AE010000}"/>
    <cellStyle name="쉼표 [0] 8" xfId="22" xr:uid="{00000000-0005-0000-0000-000016000000}"/>
    <cellStyle name="쉼표 [0] 8 2" xfId="56" xr:uid="{00000000-0005-0000-0000-000038000000}"/>
    <cellStyle name="쉼표 [0] 8 2 2" xfId="158" xr:uid="{00000000-0005-0000-0000-00009E000000}"/>
    <cellStyle name="쉼표 [0] 8 2 2 2" xfId="570" xr:uid="{00000000-0005-0000-0000-00003A020000}"/>
    <cellStyle name="쉼표 [0] 8 2 3" xfId="260" xr:uid="{00000000-0005-0000-0000-000004010000}"/>
    <cellStyle name="쉼표 [0] 8 2 3 2" xfId="672" xr:uid="{00000000-0005-0000-0000-0000A0020000}"/>
    <cellStyle name="쉼표 [0] 8 2 4" xfId="362" xr:uid="{00000000-0005-0000-0000-00006A010000}"/>
    <cellStyle name="쉼표 [0] 8 2 4 2" xfId="774" xr:uid="{00000000-0005-0000-0000-000006030000}"/>
    <cellStyle name="쉼표 [0] 8 2 5" xfId="468" xr:uid="{00000000-0005-0000-0000-0000D4010000}"/>
    <cellStyle name="쉼표 [0] 8 3" xfId="90" xr:uid="{00000000-0005-0000-0000-00005A000000}"/>
    <cellStyle name="쉼표 [0] 8 3 2" xfId="192" xr:uid="{00000000-0005-0000-0000-0000C0000000}"/>
    <cellStyle name="쉼표 [0] 8 3 2 2" xfId="604" xr:uid="{00000000-0005-0000-0000-00005C020000}"/>
    <cellStyle name="쉼표 [0] 8 3 3" xfId="294" xr:uid="{00000000-0005-0000-0000-000026010000}"/>
    <cellStyle name="쉼표 [0] 8 3 3 2" xfId="706" xr:uid="{00000000-0005-0000-0000-0000C2020000}"/>
    <cellStyle name="쉼표 [0] 8 3 4" xfId="396" xr:uid="{00000000-0005-0000-0000-00008C010000}"/>
    <cellStyle name="쉼표 [0] 8 3 4 2" xfId="808" xr:uid="{00000000-0005-0000-0000-000028030000}"/>
    <cellStyle name="쉼표 [0] 8 3 5" xfId="502" xr:uid="{00000000-0005-0000-0000-0000F6010000}"/>
    <cellStyle name="쉼표 [0] 8 4" xfId="124" xr:uid="{00000000-0005-0000-0000-00007C000000}"/>
    <cellStyle name="쉼표 [0] 8 4 2" xfId="536" xr:uid="{00000000-0005-0000-0000-000018020000}"/>
    <cellStyle name="쉼표 [0] 8 5" xfId="226" xr:uid="{00000000-0005-0000-0000-0000E2000000}"/>
    <cellStyle name="쉼표 [0] 8 5 2" xfId="638" xr:uid="{00000000-0005-0000-0000-00007E020000}"/>
    <cellStyle name="쉼표 [0] 8 6" xfId="328" xr:uid="{00000000-0005-0000-0000-000048010000}"/>
    <cellStyle name="쉼표 [0] 8 6 2" xfId="740" xr:uid="{00000000-0005-0000-0000-0000E4020000}"/>
    <cellStyle name="쉼표 [0] 8 7" xfId="434" xr:uid="{00000000-0005-0000-0000-0000B2010000}"/>
    <cellStyle name="쉼표 [0] 9" xfId="26" xr:uid="{00000000-0005-0000-0000-00001A000000}"/>
    <cellStyle name="쉼표 [0] 9 2" xfId="60" xr:uid="{00000000-0005-0000-0000-00003C000000}"/>
    <cellStyle name="쉼표 [0] 9 2 2" xfId="162" xr:uid="{00000000-0005-0000-0000-0000A2000000}"/>
    <cellStyle name="쉼표 [0] 9 2 2 2" xfId="574" xr:uid="{00000000-0005-0000-0000-00003E020000}"/>
    <cellStyle name="쉼표 [0] 9 2 3" xfId="264" xr:uid="{00000000-0005-0000-0000-000008010000}"/>
    <cellStyle name="쉼표 [0] 9 2 3 2" xfId="676" xr:uid="{00000000-0005-0000-0000-0000A4020000}"/>
    <cellStyle name="쉼표 [0] 9 2 4" xfId="366" xr:uid="{00000000-0005-0000-0000-00006E010000}"/>
    <cellStyle name="쉼표 [0] 9 2 4 2" xfId="778" xr:uid="{00000000-0005-0000-0000-00000A030000}"/>
    <cellStyle name="쉼표 [0] 9 2 5" xfId="472" xr:uid="{00000000-0005-0000-0000-0000D8010000}"/>
    <cellStyle name="쉼표 [0] 9 3" xfId="94" xr:uid="{00000000-0005-0000-0000-00005E000000}"/>
    <cellStyle name="쉼표 [0] 9 3 2" xfId="196" xr:uid="{00000000-0005-0000-0000-0000C4000000}"/>
    <cellStyle name="쉼표 [0] 9 3 2 2" xfId="608" xr:uid="{00000000-0005-0000-0000-000060020000}"/>
    <cellStyle name="쉼표 [0] 9 3 3" xfId="298" xr:uid="{00000000-0005-0000-0000-00002A010000}"/>
    <cellStyle name="쉼표 [0] 9 3 3 2" xfId="710" xr:uid="{00000000-0005-0000-0000-0000C6020000}"/>
    <cellStyle name="쉼표 [0] 9 3 4" xfId="400" xr:uid="{00000000-0005-0000-0000-000090010000}"/>
    <cellStyle name="쉼표 [0] 9 3 4 2" xfId="812" xr:uid="{00000000-0005-0000-0000-00002C030000}"/>
    <cellStyle name="쉼표 [0] 9 3 5" xfId="506" xr:uid="{00000000-0005-0000-0000-0000FA010000}"/>
    <cellStyle name="쉼표 [0] 9 4" xfId="128" xr:uid="{00000000-0005-0000-0000-000080000000}"/>
    <cellStyle name="쉼표 [0] 9 4 2" xfId="540" xr:uid="{00000000-0005-0000-0000-00001C020000}"/>
    <cellStyle name="쉼표 [0] 9 5" xfId="230" xr:uid="{00000000-0005-0000-0000-0000E6000000}"/>
    <cellStyle name="쉼표 [0] 9 5 2" xfId="642" xr:uid="{00000000-0005-0000-0000-000082020000}"/>
    <cellStyle name="쉼표 [0] 9 6" xfId="332" xr:uid="{00000000-0005-0000-0000-00004C010000}"/>
    <cellStyle name="쉼표 [0] 9 6 2" xfId="744" xr:uid="{00000000-0005-0000-0000-0000E8020000}"/>
    <cellStyle name="쉼표 [0] 9 7" xfId="438" xr:uid="{00000000-0005-0000-0000-0000B6010000}"/>
    <cellStyle name="표준" xfId="0" builtinId="0"/>
    <cellStyle name="표준 2" xfId="413" xr:uid="{00000000-0005-0000-0000-00009D010000}"/>
    <cellStyle name="표준 2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CI52"/>
  <sheetViews>
    <sheetView zoomScale="55" zoomScaleNormal="55" workbookViewId="0">
      <pane xSplit="12" ySplit="7" topLeftCell="M8" activePane="bottomRight" state="frozen"/>
      <selection pane="topRight"/>
      <selection pane="bottomLeft"/>
      <selection pane="bottomRight" activeCell="P19" sqref="P19"/>
    </sheetView>
  </sheetViews>
  <sheetFormatPr defaultRowHeight="16.5"/>
  <cols>
    <col min="2" max="2" width="6.125" style="96" customWidth="1"/>
    <col min="3" max="9" width="5.125" style="96" customWidth="1"/>
    <col min="10" max="53" width="5.125" style="68" customWidth="1"/>
    <col min="54" max="73" width="5.125" style="68" hidden="1" customWidth="1"/>
    <col min="75" max="87" width="7.875" style="96" customWidth="1"/>
  </cols>
  <sheetData>
    <row r="2" spans="1:87" ht="39.950000000000003" customHeight="1">
      <c r="A2" s="348" t="s">
        <v>1350</v>
      </c>
      <c r="B2" s="349"/>
      <c r="C2" s="349"/>
      <c r="D2" s="349"/>
      <c r="E2" s="349"/>
      <c r="F2" s="349"/>
      <c r="G2" s="349"/>
      <c r="H2" s="349"/>
      <c r="I2" s="349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0"/>
      <c r="AH2" s="350"/>
      <c r="AI2" s="350"/>
      <c r="AJ2" s="350"/>
      <c r="AK2" s="350"/>
      <c r="AL2" s="350"/>
      <c r="AM2" s="350"/>
      <c r="AN2" s="350"/>
      <c r="AO2" s="350"/>
      <c r="AP2" s="350"/>
      <c r="AQ2" s="350"/>
      <c r="AR2" s="350"/>
      <c r="AS2" s="350"/>
      <c r="AT2" s="350"/>
      <c r="AU2" s="350"/>
      <c r="AV2" s="350"/>
      <c r="AW2" s="350"/>
      <c r="AX2" s="350"/>
      <c r="AY2" s="350"/>
      <c r="AZ2" s="350"/>
      <c r="BA2" s="350"/>
      <c r="BB2" s="350"/>
      <c r="BC2" s="350"/>
      <c r="BD2" s="350"/>
      <c r="BE2" s="350"/>
      <c r="BF2" s="350"/>
      <c r="BG2" s="350"/>
      <c r="BH2" s="350"/>
      <c r="BI2" s="350"/>
      <c r="BJ2" s="350"/>
      <c r="BK2" s="350"/>
      <c r="BL2" s="350"/>
      <c r="BM2" s="350"/>
      <c r="BN2" s="350"/>
      <c r="BO2" s="350"/>
      <c r="BP2" s="350"/>
      <c r="BQ2" s="350"/>
      <c r="BR2" s="350"/>
      <c r="BS2" s="350"/>
      <c r="BT2" s="350"/>
      <c r="BU2" s="350"/>
      <c r="BV2" s="1"/>
    </row>
    <row r="3" spans="1:87" ht="20.100000000000001" customHeight="1" thickBot="1">
      <c r="A3" s="1"/>
      <c r="B3" s="1"/>
      <c r="C3" s="1"/>
      <c r="D3" s="1"/>
      <c r="E3" s="1"/>
      <c r="F3" s="1"/>
      <c r="G3" s="1"/>
      <c r="H3" s="1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3"/>
      <c r="BL3" s="2"/>
      <c r="BM3" s="2"/>
      <c r="BN3" s="2"/>
      <c r="BO3" s="2"/>
      <c r="BP3" s="2"/>
      <c r="BQ3" s="2"/>
      <c r="BR3" s="2"/>
      <c r="BS3" s="2"/>
      <c r="BT3" s="2"/>
      <c r="BU3" s="3"/>
      <c r="BV3" s="1"/>
    </row>
    <row r="4" spans="1:87" s="14" customFormat="1" ht="30" customHeight="1">
      <c r="A4" s="351" t="s">
        <v>1351</v>
      </c>
      <c r="B4" s="354" t="s">
        <v>1352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5"/>
      <c r="O4" s="343" t="s">
        <v>85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5"/>
      <c r="AB4" s="343" t="s">
        <v>73</v>
      </c>
      <c r="AC4" s="344"/>
      <c r="AD4" s="344"/>
      <c r="AE4" s="344"/>
      <c r="AF4" s="344"/>
      <c r="AG4" s="344"/>
      <c r="AH4" s="344"/>
      <c r="AI4" s="344"/>
      <c r="AJ4" s="344"/>
      <c r="AK4" s="344"/>
      <c r="AL4" s="344"/>
      <c r="AM4" s="344"/>
      <c r="AN4" s="345"/>
      <c r="AO4" s="343" t="s">
        <v>112</v>
      </c>
      <c r="AP4" s="344"/>
      <c r="AQ4" s="344"/>
      <c r="AR4" s="344"/>
      <c r="AS4" s="344"/>
      <c r="AT4" s="344"/>
      <c r="AU4" s="344"/>
      <c r="AV4" s="344"/>
      <c r="AW4" s="344"/>
      <c r="AX4" s="344"/>
      <c r="AY4" s="344"/>
      <c r="AZ4" s="344"/>
      <c r="BA4" s="345"/>
      <c r="BB4" s="346" t="s">
        <v>1353</v>
      </c>
      <c r="BC4" s="344"/>
      <c r="BD4" s="344"/>
      <c r="BE4" s="344"/>
      <c r="BF4" s="344"/>
      <c r="BG4" s="344"/>
      <c r="BH4" s="344"/>
      <c r="BI4" s="344"/>
      <c r="BJ4" s="344"/>
      <c r="BK4" s="347"/>
      <c r="BL4" s="346" t="s">
        <v>1354</v>
      </c>
      <c r="BM4" s="344"/>
      <c r="BN4" s="344"/>
      <c r="BO4" s="344"/>
      <c r="BP4" s="344"/>
      <c r="BQ4" s="344"/>
      <c r="BR4" s="344"/>
      <c r="BS4" s="344"/>
      <c r="BT4" s="344"/>
      <c r="BU4" s="347"/>
      <c r="BV4" s="15"/>
      <c r="BW4" s="343" t="s">
        <v>1355</v>
      </c>
      <c r="BX4" s="344"/>
      <c r="BY4" s="344"/>
      <c r="BZ4" s="344"/>
      <c r="CA4" s="344"/>
      <c r="CB4" s="344"/>
      <c r="CC4" s="344"/>
      <c r="CD4" s="344"/>
      <c r="CE4" s="344"/>
      <c r="CF4" s="344"/>
      <c r="CG4" s="344"/>
      <c r="CH4" s="344"/>
      <c r="CI4" s="345"/>
    </row>
    <row r="5" spans="1:87" s="9" customFormat="1" ht="30" customHeight="1">
      <c r="A5" s="352"/>
      <c r="B5" s="357" t="s">
        <v>1356</v>
      </c>
      <c r="C5" s="336" t="s">
        <v>1357</v>
      </c>
      <c r="D5" s="336" t="s">
        <v>1358</v>
      </c>
      <c r="E5" s="338"/>
      <c r="F5" s="338"/>
      <c r="G5" s="338"/>
      <c r="H5" s="338"/>
      <c r="I5" s="338"/>
      <c r="J5" s="342"/>
      <c r="K5" s="336" t="s">
        <v>68</v>
      </c>
      <c r="L5" s="338"/>
      <c r="M5" s="338"/>
      <c r="N5" s="342"/>
      <c r="O5" s="340" t="s">
        <v>1356</v>
      </c>
      <c r="P5" s="336" t="s">
        <v>72</v>
      </c>
      <c r="Q5" s="336" t="s">
        <v>1358</v>
      </c>
      <c r="R5" s="338"/>
      <c r="S5" s="338"/>
      <c r="T5" s="338"/>
      <c r="U5" s="338"/>
      <c r="V5" s="338"/>
      <c r="W5" s="342"/>
      <c r="X5" s="336" t="s">
        <v>68</v>
      </c>
      <c r="Y5" s="338"/>
      <c r="Z5" s="338"/>
      <c r="AA5" s="342"/>
      <c r="AB5" s="340" t="s">
        <v>1356</v>
      </c>
      <c r="AC5" s="336" t="s">
        <v>72</v>
      </c>
      <c r="AD5" s="356" t="s">
        <v>1358</v>
      </c>
      <c r="AE5" s="338"/>
      <c r="AF5" s="338"/>
      <c r="AG5" s="338"/>
      <c r="AH5" s="338"/>
      <c r="AI5" s="338"/>
      <c r="AJ5" s="338"/>
      <c r="AK5" s="336" t="s">
        <v>68</v>
      </c>
      <c r="AL5" s="338"/>
      <c r="AM5" s="338"/>
      <c r="AN5" s="342"/>
      <c r="AO5" s="340" t="s">
        <v>1356</v>
      </c>
      <c r="AP5" s="336" t="s">
        <v>72</v>
      </c>
      <c r="AQ5" s="356" t="s">
        <v>1358</v>
      </c>
      <c r="AR5" s="338"/>
      <c r="AS5" s="338"/>
      <c r="AT5" s="338"/>
      <c r="AU5" s="338"/>
      <c r="AV5" s="338"/>
      <c r="AW5" s="338"/>
      <c r="AX5" s="336" t="s">
        <v>68</v>
      </c>
      <c r="AY5" s="338"/>
      <c r="AZ5" s="338"/>
      <c r="BA5" s="342"/>
      <c r="BB5" s="340" t="s">
        <v>1356</v>
      </c>
      <c r="BC5" s="336" t="s">
        <v>72</v>
      </c>
      <c r="BD5" s="355" t="s">
        <v>1358</v>
      </c>
      <c r="BE5" s="338"/>
      <c r="BF5" s="338"/>
      <c r="BG5" s="338"/>
      <c r="BH5" s="338"/>
      <c r="BI5" s="338"/>
      <c r="BJ5" s="338"/>
      <c r="BK5" s="339"/>
      <c r="BL5" s="340" t="s">
        <v>1356</v>
      </c>
      <c r="BM5" s="336" t="s">
        <v>72</v>
      </c>
      <c r="BN5" s="355" t="s">
        <v>1358</v>
      </c>
      <c r="BO5" s="338"/>
      <c r="BP5" s="338"/>
      <c r="BQ5" s="338"/>
      <c r="BR5" s="338"/>
      <c r="BS5" s="338"/>
      <c r="BT5" s="338"/>
      <c r="BU5" s="339"/>
      <c r="BV5" s="29"/>
      <c r="BW5" s="340" t="s">
        <v>1356</v>
      </c>
      <c r="BX5" s="336" t="s">
        <v>72</v>
      </c>
      <c r="BY5" s="336" t="s">
        <v>1358</v>
      </c>
      <c r="BZ5" s="338"/>
      <c r="CA5" s="338"/>
      <c r="CB5" s="338"/>
      <c r="CC5" s="338"/>
      <c r="CD5" s="338"/>
      <c r="CE5" s="342"/>
      <c r="CF5" s="336" t="s">
        <v>68</v>
      </c>
      <c r="CG5" s="338"/>
      <c r="CH5" s="338"/>
      <c r="CI5" s="339"/>
    </row>
    <row r="6" spans="1:87" s="9" customFormat="1" ht="54.95" customHeight="1">
      <c r="A6" s="353"/>
      <c r="B6" s="341"/>
      <c r="C6" s="337"/>
      <c r="D6" s="84" t="s">
        <v>1359</v>
      </c>
      <c r="E6" s="84" t="s">
        <v>62</v>
      </c>
      <c r="F6" s="84" t="s">
        <v>88</v>
      </c>
      <c r="G6" s="84" t="s">
        <v>64</v>
      </c>
      <c r="H6" s="84" t="s">
        <v>65</v>
      </c>
      <c r="I6" s="84" t="s">
        <v>66</v>
      </c>
      <c r="J6" s="84" t="s">
        <v>67</v>
      </c>
      <c r="K6" s="84" t="s">
        <v>1359</v>
      </c>
      <c r="L6" s="79" t="s">
        <v>68</v>
      </c>
      <c r="M6" s="84" t="s">
        <v>137</v>
      </c>
      <c r="N6" s="80" t="s">
        <v>69</v>
      </c>
      <c r="O6" s="341"/>
      <c r="P6" s="337"/>
      <c r="Q6" s="84" t="s">
        <v>1359</v>
      </c>
      <c r="R6" s="84" t="s">
        <v>62</v>
      </c>
      <c r="S6" s="84" t="s">
        <v>88</v>
      </c>
      <c r="T6" s="84" t="s">
        <v>64</v>
      </c>
      <c r="U6" s="84" t="s">
        <v>65</v>
      </c>
      <c r="V6" s="84" t="s">
        <v>66</v>
      </c>
      <c r="W6" s="84" t="s">
        <v>67</v>
      </c>
      <c r="X6" s="84" t="s">
        <v>1359</v>
      </c>
      <c r="Y6" s="79" t="s">
        <v>68</v>
      </c>
      <c r="Z6" s="84" t="s">
        <v>137</v>
      </c>
      <c r="AA6" s="80" t="s">
        <v>69</v>
      </c>
      <c r="AB6" s="341"/>
      <c r="AC6" s="337"/>
      <c r="AD6" s="84" t="s">
        <v>1359</v>
      </c>
      <c r="AE6" s="84" t="s">
        <v>62</v>
      </c>
      <c r="AF6" s="84" t="s">
        <v>88</v>
      </c>
      <c r="AG6" s="84" t="s">
        <v>64</v>
      </c>
      <c r="AH6" s="84" t="s">
        <v>65</v>
      </c>
      <c r="AI6" s="84" t="s">
        <v>66</v>
      </c>
      <c r="AJ6" s="84" t="s">
        <v>67</v>
      </c>
      <c r="AK6" s="84" t="s">
        <v>1359</v>
      </c>
      <c r="AL6" s="79" t="s">
        <v>68</v>
      </c>
      <c r="AM6" s="84" t="s">
        <v>137</v>
      </c>
      <c r="AN6" s="80" t="s">
        <v>69</v>
      </c>
      <c r="AO6" s="341"/>
      <c r="AP6" s="337"/>
      <c r="AQ6" s="84" t="s">
        <v>1359</v>
      </c>
      <c r="AR6" s="84" t="s">
        <v>62</v>
      </c>
      <c r="AS6" s="84" t="s">
        <v>88</v>
      </c>
      <c r="AT6" s="84" t="s">
        <v>64</v>
      </c>
      <c r="AU6" s="84" t="s">
        <v>65</v>
      </c>
      <c r="AV6" s="84" t="s">
        <v>66</v>
      </c>
      <c r="AW6" s="84" t="s">
        <v>67</v>
      </c>
      <c r="AX6" s="84" t="s">
        <v>1359</v>
      </c>
      <c r="AY6" s="79" t="s">
        <v>68</v>
      </c>
      <c r="AZ6" s="84" t="s">
        <v>137</v>
      </c>
      <c r="BA6" s="80" t="s">
        <v>69</v>
      </c>
      <c r="BB6" s="341"/>
      <c r="BC6" s="337"/>
      <c r="BD6" s="84" t="s">
        <v>1359</v>
      </c>
      <c r="BE6" s="84" t="s">
        <v>62</v>
      </c>
      <c r="BF6" s="84" t="s">
        <v>88</v>
      </c>
      <c r="BG6" s="84" t="s">
        <v>64</v>
      </c>
      <c r="BH6" s="84" t="s">
        <v>65</v>
      </c>
      <c r="BI6" s="84" t="s">
        <v>66</v>
      </c>
      <c r="BJ6" s="84" t="s">
        <v>67</v>
      </c>
      <c r="BK6" s="85" t="s">
        <v>68</v>
      </c>
      <c r="BL6" s="341"/>
      <c r="BM6" s="337"/>
      <c r="BN6" s="84" t="s">
        <v>1359</v>
      </c>
      <c r="BO6" s="84" t="s">
        <v>62</v>
      </c>
      <c r="BP6" s="84" t="s">
        <v>88</v>
      </c>
      <c r="BQ6" s="84" t="s">
        <v>64</v>
      </c>
      <c r="BR6" s="84" t="s">
        <v>65</v>
      </c>
      <c r="BS6" s="84" t="s">
        <v>66</v>
      </c>
      <c r="BT6" s="84" t="s">
        <v>67</v>
      </c>
      <c r="BU6" s="85" t="s">
        <v>68</v>
      </c>
      <c r="BV6" s="29"/>
      <c r="BW6" s="341"/>
      <c r="BX6" s="337"/>
      <c r="BY6" s="183" t="s">
        <v>1359</v>
      </c>
      <c r="BZ6" s="183" t="s">
        <v>62</v>
      </c>
      <c r="CA6" s="183" t="s">
        <v>88</v>
      </c>
      <c r="CB6" s="183" t="s">
        <v>64</v>
      </c>
      <c r="CC6" s="183" t="s">
        <v>65</v>
      </c>
      <c r="CD6" s="183" t="s">
        <v>66</v>
      </c>
      <c r="CE6" s="183" t="s">
        <v>67</v>
      </c>
      <c r="CF6" s="183" t="s">
        <v>1359</v>
      </c>
      <c r="CG6" s="79" t="s">
        <v>68</v>
      </c>
      <c r="CH6" s="183" t="s">
        <v>137</v>
      </c>
      <c r="CI6" s="80" t="s">
        <v>69</v>
      </c>
    </row>
    <row r="7" spans="1:87" s="6" customFormat="1" ht="39" customHeight="1" thickBot="1">
      <c r="A7" s="8" t="s">
        <v>1356</v>
      </c>
      <c r="B7" s="111">
        <f t="shared" ref="B7:B32" si="0">C7+D7+K7</f>
        <v>542</v>
      </c>
      <c r="C7" s="112">
        <f t="shared" ref="C7:AH7" si="1">SUM(C8:C32)</f>
        <v>138</v>
      </c>
      <c r="D7" s="113">
        <f t="shared" si="1"/>
        <v>233</v>
      </c>
      <c r="E7" s="113">
        <f t="shared" si="1"/>
        <v>11</v>
      </c>
      <c r="F7" s="113">
        <f t="shared" si="1"/>
        <v>85</v>
      </c>
      <c r="G7" s="113">
        <f t="shared" si="1"/>
        <v>55</v>
      </c>
      <c r="H7" s="113">
        <f t="shared" si="1"/>
        <v>18</v>
      </c>
      <c r="I7" s="113">
        <f t="shared" si="1"/>
        <v>32</v>
      </c>
      <c r="J7" s="113">
        <f t="shared" si="1"/>
        <v>32</v>
      </c>
      <c r="K7" s="112">
        <f t="shared" si="1"/>
        <v>171</v>
      </c>
      <c r="L7" s="113">
        <f t="shared" si="1"/>
        <v>98</v>
      </c>
      <c r="M7" s="113">
        <f t="shared" si="1"/>
        <v>43</v>
      </c>
      <c r="N7" s="114">
        <f t="shared" si="1"/>
        <v>30</v>
      </c>
      <c r="O7" s="115">
        <f t="shared" si="1"/>
        <v>198</v>
      </c>
      <c r="P7" s="112">
        <f t="shared" si="1"/>
        <v>25</v>
      </c>
      <c r="Q7" s="113">
        <f t="shared" si="1"/>
        <v>131</v>
      </c>
      <c r="R7" s="113">
        <f t="shared" si="1"/>
        <v>9</v>
      </c>
      <c r="S7" s="113">
        <f t="shared" si="1"/>
        <v>44</v>
      </c>
      <c r="T7" s="113">
        <f t="shared" si="1"/>
        <v>33</v>
      </c>
      <c r="U7" s="113">
        <f t="shared" si="1"/>
        <v>8</v>
      </c>
      <c r="V7" s="113">
        <f t="shared" si="1"/>
        <v>17</v>
      </c>
      <c r="W7" s="113">
        <f t="shared" si="1"/>
        <v>20</v>
      </c>
      <c r="X7" s="112">
        <f t="shared" si="1"/>
        <v>42</v>
      </c>
      <c r="Y7" s="116">
        <f t="shared" si="1"/>
        <v>18</v>
      </c>
      <c r="Z7" s="116">
        <f t="shared" si="1"/>
        <v>19</v>
      </c>
      <c r="AA7" s="114">
        <f t="shared" si="1"/>
        <v>5</v>
      </c>
      <c r="AB7" s="115">
        <f t="shared" si="1"/>
        <v>300</v>
      </c>
      <c r="AC7" s="112">
        <f t="shared" si="1"/>
        <v>102</v>
      </c>
      <c r="AD7" s="113">
        <f t="shared" si="1"/>
        <v>100</v>
      </c>
      <c r="AE7" s="117">
        <f t="shared" si="1"/>
        <v>2</v>
      </c>
      <c r="AF7" s="113">
        <f t="shared" si="1"/>
        <v>41</v>
      </c>
      <c r="AG7" s="113">
        <f t="shared" si="1"/>
        <v>22</v>
      </c>
      <c r="AH7" s="113">
        <f t="shared" si="1"/>
        <v>10</v>
      </c>
      <c r="AI7" s="113">
        <f t="shared" ref="AI7:BN7" si="2">SUM(AI8:AI32)</f>
        <v>15</v>
      </c>
      <c r="AJ7" s="113">
        <f t="shared" si="2"/>
        <v>10</v>
      </c>
      <c r="AK7" s="112">
        <f t="shared" si="2"/>
        <v>98</v>
      </c>
      <c r="AL7" s="113">
        <f t="shared" si="2"/>
        <v>49</v>
      </c>
      <c r="AM7" s="113">
        <f t="shared" si="2"/>
        <v>24</v>
      </c>
      <c r="AN7" s="118">
        <f t="shared" si="2"/>
        <v>25</v>
      </c>
      <c r="AO7" s="119">
        <f t="shared" si="2"/>
        <v>44</v>
      </c>
      <c r="AP7" s="120">
        <f t="shared" si="2"/>
        <v>11</v>
      </c>
      <c r="AQ7" s="113">
        <f t="shared" si="2"/>
        <v>2</v>
      </c>
      <c r="AR7" s="113">
        <f t="shared" si="2"/>
        <v>0</v>
      </c>
      <c r="AS7" s="113">
        <f t="shared" si="2"/>
        <v>0</v>
      </c>
      <c r="AT7" s="113">
        <f t="shared" si="2"/>
        <v>0</v>
      </c>
      <c r="AU7" s="113">
        <f t="shared" si="2"/>
        <v>0</v>
      </c>
      <c r="AV7" s="113">
        <f t="shared" si="2"/>
        <v>0</v>
      </c>
      <c r="AW7" s="113">
        <f t="shared" si="2"/>
        <v>2</v>
      </c>
      <c r="AX7" s="112">
        <f t="shared" si="2"/>
        <v>31</v>
      </c>
      <c r="AY7" s="113">
        <f t="shared" si="2"/>
        <v>31</v>
      </c>
      <c r="AZ7" s="113">
        <f t="shared" si="2"/>
        <v>0</v>
      </c>
      <c r="BA7" s="118">
        <f t="shared" si="2"/>
        <v>0</v>
      </c>
      <c r="BB7" s="119">
        <f t="shared" si="2"/>
        <v>0</v>
      </c>
      <c r="BC7" s="121">
        <f t="shared" si="2"/>
        <v>0</v>
      </c>
      <c r="BD7" s="113">
        <f t="shared" si="2"/>
        <v>0</v>
      </c>
      <c r="BE7" s="117">
        <f t="shared" si="2"/>
        <v>0</v>
      </c>
      <c r="BF7" s="113">
        <f t="shared" si="2"/>
        <v>0</v>
      </c>
      <c r="BG7" s="113">
        <f t="shared" si="2"/>
        <v>0</v>
      </c>
      <c r="BH7" s="113">
        <f t="shared" si="2"/>
        <v>0</v>
      </c>
      <c r="BI7" s="113">
        <f t="shared" si="2"/>
        <v>0</v>
      </c>
      <c r="BJ7" s="113">
        <f t="shared" si="2"/>
        <v>0</v>
      </c>
      <c r="BK7" s="114">
        <f t="shared" si="2"/>
        <v>0</v>
      </c>
      <c r="BL7" s="119">
        <f t="shared" si="2"/>
        <v>0</v>
      </c>
      <c r="BM7" s="121">
        <f t="shared" si="2"/>
        <v>0</v>
      </c>
      <c r="BN7" s="113">
        <f t="shared" si="2"/>
        <v>0</v>
      </c>
      <c r="BO7" s="117">
        <f t="shared" ref="BO7:BU7" si="3">SUM(BO8:BO32)</f>
        <v>0</v>
      </c>
      <c r="BP7" s="113">
        <f t="shared" si="3"/>
        <v>0</v>
      </c>
      <c r="BQ7" s="113">
        <f t="shared" si="3"/>
        <v>0</v>
      </c>
      <c r="BR7" s="113">
        <f t="shared" si="3"/>
        <v>0</v>
      </c>
      <c r="BS7" s="113">
        <f t="shared" si="3"/>
        <v>0</v>
      </c>
      <c r="BT7" s="113">
        <f t="shared" si="3"/>
        <v>0</v>
      </c>
      <c r="BU7" s="114">
        <f t="shared" si="3"/>
        <v>0</v>
      </c>
      <c r="BV7" s="5"/>
      <c r="BW7" s="122">
        <f t="shared" ref="BW7:BW32" si="4">SUM(O7+AB7)</f>
        <v>498</v>
      </c>
      <c r="BX7" s="191">
        <f t="shared" ref="BX7:BX32" si="5">SUM(P7+AC7)</f>
        <v>127</v>
      </c>
      <c r="BY7" s="191">
        <f t="shared" ref="BY7:BY32" si="6">SUM(Q7+AD7)</f>
        <v>231</v>
      </c>
      <c r="BZ7" s="191">
        <f t="shared" ref="BZ7:BZ32" si="7">SUM(R7+AE7)</f>
        <v>11</v>
      </c>
      <c r="CA7" s="191">
        <f t="shared" ref="CA7:CA32" si="8">SUM(S7+AF7)</f>
        <v>85</v>
      </c>
      <c r="CB7" s="191">
        <f t="shared" ref="CB7:CB32" si="9">SUM(T7+AG7)</f>
        <v>55</v>
      </c>
      <c r="CC7" s="191">
        <f t="shared" ref="CC7:CC32" si="10">SUM(U7+AH7)</f>
        <v>18</v>
      </c>
      <c r="CD7" s="191">
        <f t="shared" ref="CD7:CD32" si="11">SUM(V7+AI7)</f>
        <v>32</v>
      </c>
      <c r="CE7" s="191">
        <f t="shared" ref="CE7:CE32" si="12">SUM(W7+AJ7)</f>
        <v>30</v>
      </c>
      <c r="CF7" s="191">
        <f t="shared" ref="CF7:CF32" si="13">SUM(X7+AK7)</f>
        <v>140</v>
      </c>
      <c r="CG7" s="191">
        <f t="shared" ref="CG7:CG32" si="14">SUM(Y7+AL7)</f>
        <v>67</v>
      </c>
      <c r="CH7" s="191">
        <f t="shared" ref="CH7:CH32" si="15">SUM(Z7+AM7)</f>
        <v>43</v>
      </c>
      <c r="CI7" s="123">
        <f t="shared" ref="CI7:CI32" si="16">SUM(AA7+AN7)</f>
        <v>30</v>
      </c>
    </row>
    <row r="8" spans="1:87" s="4" customFormat="1" ht="39" customHeight="1">
      <c r="A8" s="41" t="s">
        <v>71</v>
      </c>
      <c r="B8" s="124">
        <f t="shared" si="0"/>
        <v>56</v>
      </c>
      <c r="C8" s="125">
        <f t="shared" ref="C8:C32" si="17">P8+AC8+AP8+BC8+BM8</f>
        <v>5</v>
      </c>
      <c r="D8" s="126">
        <f t="shared" ref="D8:D32" si="18">SUM(E8:J8)</f>
        <v>30</v>
      </c>
      <c r="E8" s="127">
        <f t="shared" ref="E8:E32" si="19">R8+AE8+AR8+BE8+BO8</f>
        <v>0</v>
      </c>
      <c r="F8" s="127">
        <f t="shared" ref="F8:F32" si="20">S8+AF8+AS8+BF8+BP8</f>
        <v>18</v>
      </c>
      <c r="G8" s="127">
        <f t="shared" ref="G8:G32" si="21">T8+AG8+AT8+BG8+BQ8</f>
        <v>1</v>
      </c>
      <c r="H8" s="127">
        <f t="shared" ref="H8:H32" si="22">U8+AH8+AU8+BH8+BR8</f>
        <v>1</v>
      </c>
      <c r="I8" s="127">
        <f t="shared" ref="I8:I32" si="23">V8+AI8+AV8+BI8+BS8</f>
        <v>6</v>
      </c>
      <c r="J8" s="127">
        <f t="shared" ref="J8:J32" si="24">W8+AJ8+AW8+BJ8+BT8</f>
        <v>4</v>
      </c>
      <c r="K8" s="128">
        <f t="shared" ref="K8:K32" si="25">SUM(L8:N8)</f>
        <v>21</v>
      </c>
      <c r="L8" s="128">
        <f t="shared" ref="L8:L32" si="26">Y8+AL8+AY8+BK8+BU8</f>
        <v>8</v>
      </c>
      <c r="M8" s="128">
        <f t="shared" ref="M8:M32" si="27">Z8+AM8+AZ8+BL8+BV8</f>
        <v>8</v>
      </c>
      <c r="N8" s="129">
        <f t="shared" ref="N8:N32" si="28">AA8+AN8+BA8</f>
        <v>5</v>
      </c>
      <c r="O8" s="130">
        <f t="shared" ref="O8:O32" si="29">P8+Q8+X8</f>
        <v>24</v>
      </c>
      <c r="P8" s="131">
        <f t="shared" ref="P8:P32" si="30">COUNTIFS(시군,$A8,사업단계,P$5,사업유형,$O$4)</f>
        <v>1</v>
      </c>
      <c r="Q8" s="131">
        <f t="shared" ref="Q8:Q32" si="31">SUM(R8:W8)</f>
        <v>16</v>
      </c>
      <c r="R8" s="132">
        <f t="shared" ref="R8:W17" si="32">COUNTIFS(시군,$A8,사업단계,R$6,사업유형,$O$4)</f>
        <v>0</v>
      </c>
      <c r="S8" s="132">
        <f t="shared" si="32"/>
        <v>11</v>
      </c>
      <c r="T8" s="132">
        <f t="shared" si="32"/>
        <v>0</v>
      </c>
      <c r="U8" s="132">
        <f t="shared" si="32"/>
        <v>0</v>
      </c>
      <c r="V8" s="132">
        <f t="shared" si="32"/>
        <v>2</v>
      </c>
      <c r="W8" s="132">
        <f t="shared" si="32"/>
        <v>3</v>
      </c>
      <c r="X8" s="128">
        <f t="shared" ref="X8:X32" si="33">SUM(Y8:AA8)</f>
        <v>7</v>
      </c>
      <c r="Y8" s="133">
        <f t="shared" ref="Y8:AA32" si="34">COUNTIFS(시군,$A8,사업단계,Y$6,사업유형,$O$4)</f>
        <v>2</v>
      </c>
      <c r="Z8" s="133">
        <f t="shared" si="34"/>
        <v>5</v>
      </c>
      <c r="AA8" s="134">
        <f t="shared" si="34"/>
        <v>0</v>
      </c>
      <c r="AB8" s="130">
        <f t="shared" ref="AB8:AB32" si="35">AC8+AD8+AK8</f>
        <v>27</v>
      </c>
      <c r="AC8" s="131">
        <f t="shared" ref="AC8:AC32" si="36">COUNTIFS(시군,$A8,사업단계,AC$5,사업유형,$AB$4)</f>
        <v>4</v>
      </c>
      <c r="AD8" s="131">
        <f t="shared" ref="AD8:AD32" si="37">SUM(AE8:AJ8)</f>
        <v>13</v>
      </c>
      <c r="AE8" s="132">
        <f t="shared" ref="AE8:AJ17" si="38">COUNTIFS(시군,$A8,사업단계,AE$6,사업유형,$AB$4)</f>
        <v>0</v>
      </c>
      <c r="AF8" s="135">
        <f t="shared" si="38"/>
        <v>7</v>
      </c>
      <c r="AG8" s="135">
        <f t="shared" si="38"/>
        <v>1</v>
      </c>
      <c r="AH8" s="135">
        <f t="shared" si="38"/>
        <v>1</v>
      </c>
      <c r="AI8" s="135">
        <f t="shared" si="38"/>
        <v>4</v>
      </c>
      <c r="AJ8" s="135">
        <f t="shared" si="38"/>
        <v>0</v>
      </c>
      <c r="AK8" s="135">
        <f t="shared" ref="AK8:AK32" si="39">SUM(AL8:AN8)</f>
        <v>10</v>
      </c>
      <c r="AL8" s="135">
        <f t="shared" ref="AL8:AN32" si="40">COUNTIFS(시군,$A8,사업단계,AL$6,사업유형,$AB$4)</f>
        <v>2</v>
      </c>
      <c r="AM8" s="133">
        <f t="shared" si="40"/>
        <v>3</v>
      </c>
      <c r="AN8" s="134">
        <f t="shared" si="40"/>
        <v>5</v>
      </c>
      <c r="AO8" s="130">
        <f t="shared" ref="AO8:AO32" si="41">AP8+AQ8+AX8</f>
        <v>5</v>
      </c>
      <c r="AP8" s="136">
        <f t="shared" ref="AP8:AP32" si="42">COUNTIFS(시군,$A8,사업단계,AP$5,사업유형,$AO$4)</f>
        <v>0</v>
      </c>
      <c r="AQ8" s="131">
        <f t="shared" ref="AQ8:AQ32" si="43">SUM(AR8:AW8)</f>
        <v>1</v>
      </c>
      <c r="AR8" s="132">
        <f t="shared" ref="AR8:AW17" si="44">COUNTIFS(시군,$A8,사업단계,AR$6,사업유형,$AO$4)</f>
        <v>0</v>
      </c>
      <c r="AS8" s="135">
        <f t="shared" si="44"/>
        <v>0</v>
      </c>
      <c r="AT8" s="135">
        <f t="shared" si="44"/>
        <v>0</v>
      </c>
      <c r="AU8" s="135">
        <f t="shared" si="44"/>
        <v>0</v>
      </c>
      <c r="AV8" s="135">
        <f t="shared" si="44"/>
        <v>0</v>
      </c>
      <c r="AW8" s="135">
        <f t="shared" si="44"/>
        <v>1</v>
      </c>
      <c r="AX8" s="135">
        <f t="shared" ref="AX8:AX32" si="45">SUM(AY8:BA8)</f>
        <v>4</v>
      </c>
      <c r="AY8" s="135">
        <f t="shared" ref="AY8:BA32" si="46">COUNTIFS(시군,$A8,사업단계,AY$6,사업유형,$AO$4)</f>
        <v>4</v>
      </c>
      <c r="AZ8" s="133">
        <f t="shared" si="46"/>
        <v>0</v>
      </c>
      <c r="BA8" s="134">
        <f t="shared" si="46"/>
        <v>0</v>
      </c>
      <c r="BB8" s="137">
        <f t="shared" ref="BB8:BB21" si="47">BC8+BD8</f>
        <v>0</v>
      </c>
      <c r="BC8" s="136">
        <f t="shared" ref="BC8:BC21" si="48">COUNTIFS(시군,$A8,사업단계,BC$5,사업유형,$BB$4)</f>
        <v>0</v>
      </c>
      <c r="BD8" s="131">
        <f t="shared" ref="BD8:BD21" si="49">SUM(BE8:BK8)</f>
        <v>0</v>
      </c>
      <c r="BE8" s="132">
        <f t="shared" ref="BE8:BK21" si="50">COUNTIFS(시군,$A8,사업단계,BE$6,사업유형,$BB$4)</f>
        <v>0</v>
      </c>
      <c r="BF8" s="135">
        <f t="shared" si="50"/>
        <v>0</v>
      </c>
      <c r="BG8" s="135">
        <f t="shared" si="50"/>
        <v>0</v>
      </c>
      <c r="BH8" s="135">
        <f t="shared" si="50"/>
        <v>0</v>
      </c>
      <c r="BI8" s="135">
        <f t="shared" si="50"/>
        <v>0</v>
      </c>
      <c r="BJ8" s="135">
        <f t="shared" si="50"/>
        <v>0</v>
      </c>
      <c r="BK8" s="134">
        <f t="shared" si="50"/>
        <v>0</v>
      </c>
      <c r="BL8" s="137">
        <f t="shared" ref="BL8:BL21" si="51">BM8+BN8</f>
        <v>0</v>
      </c>
      <c r="BM8" s="136">
        <f t="shared" ref="BM8:BM21" si="52">COUNTIFS(시군,$A8,사업단계,BM$5,사업유형,$BL$4)</f>
        <v>0</v>
      </c>
      <c r="BN8" s="131">
        <f t="shared" ref="BN8:BN21" si="53">SUM(BO8:BU8)</f>
        <v>0</v>
      </c>
      <c r="BO8" s="132">
        <f t="shared" ref="BO8:BU21" si="54">COUNTIFS(시군,$A8,사업단계,BO$6,사업유형,$BL$4)</f>
        <v>0</v>
      </c>
      <c r="BP8" s="135">
        <f t="shared" si="54"/>
        <v>0</v>
      </c>
      <c r="BQ8" s="135">
        <f t="shared" si="54"/>
        <v>0</v>
      </c>
      <c r="BR8" s="135">
        <f t="shared" si="54"/>
        <v>0</v>
      </c>
      <c r="BS8" s="135">
        <f t="shared" si="54"/>
        <v>0</v>
      </c>
      <c r="BT8" s="135">
        <f t="shared" si="54"/>
        <v>0</v>
      </c>
      <c r="BU8" s="134">
        <f t="shared" si="54"/>
        <v>0</v>
      </c>
      <c r="BV8" s="7"/>
      <c r="BW8" s="122">
        <f t="shared" si="4"/>
        <v>51</v>
      </c>
      <c r="BX8" s="191">
        <f t="shared" si="5"/>
        <v>5</v>
      </c>
      <c r="BY8" s="191">
        <f t="shared" si="6"/>
        <v>29</v>
      </c>
      <c r="BZ8" s="191">
        <f t="shared" si="7"/>
        <v>0</v>
      </c>
      <c r="CA8" s="191">
        <f t="shared" si="8"/>
        <v>18</v>
      </c>
      <c r="CB8" s="191">
        <f t="shared" si="9"/>
        <v>1</v>
      </c>
      <c r="CC8" s="191">
        <f t="shared" si="10"/>
        <v>1</v>
      </c>
      <c r="CD8" s="191">
        <f t="shared" si="11"/>
        <v>6</v>
      </c>
      <c r="CE8" s="191">
        <f t="shared" si="12"/>
        <v>3</v>
      </c>
      <c r="CF8" s="191">
        <f t="shared" si="13"/>
        <v>17</v>
      </c>
      <c r="CG8" s="191">
        <f t="shared" si="14"/>
        <v>4</v>
      </c>
      <c r="CH8" s="191">
        <f t="shared" si="15"/>
        <v>8</v>
      </c>
      <c r="CI8" s="123">
        <f t="shared" si="16"/>
        <v>5</v>
      </c>
    </row>
    <row r="9" spans="1:87" s="4" customFormat="1" ht="39" customHeight="1">
      <c r="A9" s="42" t="s">
        <v>1286</v>
      </c>
      <c r="B9" s="124">
        <f t="shared" si="0"/>
        <v>11</v>
      </c>
      <c r="C9" s="125">
        <f t="shared" si="17"/>
        <v>0</v>
      </c>
      <c r="D9" s="126">
        <f t="shared" si="18"/>
        <v>7</v>
      </c>
      <c r="E9" s="127">
        <f t="shared" si="19"/>
        <v>0</v>
      </c>
      <c r="F9" s="127">
        <f t="shared" si="20"/>
        <v>1</v>
      </c>
      <c r="G9" s="127">
        <f t="shared" si="21"/>
        <v>3</v>
      </c>
      <c r="H9" s="127">
        <f t="shared" si="22"/>
        <v>1</v>
      </c>
      <c r="I9" s="127">
        <f t="shared" si="23"/>
        <v>1</v>
      </c>
      <c r="J9" s="127">
        <f t="shared" si="24"/>
        <v>1</v>
      </c>
      <c r="K9" s="128">
        <f t="shared" si="25"/>
        <v>4</v>
      </c>
      <c r="L9" s="128">
        <f t="shared" si="26"/>
        <v>2</v>
      </c>
      <c r="M9" s="128">
        <f t="shared" si="27"/>
        <v>0</v>
      </c>
      <c r="N9" s="129">
        <f t="shared" si="28"/>
        <v>2</v>
      </c>
      <c r="O9" s="130">
        <f t="shared" si="29"/>
        <v>5</v>
      </c>
      <c r="P9" s="131">
        <f t="shared" si="30"/>
        <v>0</v>
      </c>
      <c r="Q9" s="131">
        <f t="shared" si="31"/>
        <v>4</v>
      </c>
      <c r="R9" s="132">
        <f t="shared" si="32"/>
        <v>0</v>
      </c>
      <c r="S9" s="132">
        <f t="shared" si="32"/>
        <v>0</v>
      </c>
      <c r="T9" s="132">
        <f t="shared" si="32"/>
        <v>3</v>
      </c>
      <c r="U9" s="132">
        <f t="shared" si="32"/>
        <v>1</v>
      </c>
      <c r="V9" s="132">
        <f t="shared" si="32"/>
        <v>0</v>
      </c>
      <c r="W9" s="132">
        <f t="shared" si="32"/>
        <v>0</v>
      </c>
      <c r="X9" s="128">
        <f t="shared" si="33"/>
        <v>1</v>
      </c>
      <c r="Y9" s="133">
        <f t="shared" si="34"/>
        <v>1</v>
      </c>
      <c r="Z9" s="133">
        <f t="shared" si="34"/>
        <v>0</v>
      </c>
      <c r="AA9" s="134">
        <f t="shared" si="34"/>
        <v>0</v>
      </c>
      <c r="AB9" s="130">
        <f t="shared" si="35"/>
        <v>6</v>
      </c>
      <c r="AC9" s="138">
        <f t="shared" si="36"/>
        <v>0</v>
      </c>
      <c r="AD9" s="131">
        <f t="shared" si="37"/>
        <v>3</v>
      </c>
      <c r="AE9" s="132">
        <f t="shared" si="38"/>
        <v>0</v>
      </c>
      <c r="AF9" s="135">
        <f t="shared" si="38"/>
        <v>1</v>
      </c>
      <c r="AG9" s="135">
        <f t="shared" si="38"/>
        <v>0</v>
      </c>
      <c r="AH9" s="135">
        <f t="shared" si="38"/>
        <v>0</v>
      </c>
      <c r="AI9" s="135">
        <f t="shared" si="38"/>
        <v>1</v>
      </c>
      <c r="AJ9" s="135">
        <f t="shared" si="38"/>
        <v>1</v>
      </c>
      <c r="AK9" s="135">
        <f t="shared" si="39"/>
        <v>3</v>
      </c>
      <c r="AL9" s="135">
        <f t="shared" si="40"/>
        <v>1</v>
      </c>
      <c r="AM9" s="133">
        <f t="shared" si="40"/>
        <v>0</v>
      </c>
      <c r="AN9" s="134">
        <f t="shared" si="40"/>
        <v>2</v>
      </c>
      <c r="AO9" s="130">
        <f t="shared" si="41"/>
        <v>0</v>
      </c>
      <c r="AP9" s="139">
        <f t="shared" si="42"/>
        <v>0</v>
      </c>
      <c r="AQ9" s="131">
        <f t="shared" si="43"/>
        <v>0</v>
      </c>
      <c r="AR9" s="140">
        <f t="shared" si="44"/>
        <v>0</v>
      </c>
      <c r="AS9" s="141">
        <f t="shared" si="44"/>
        <v>0</v>
      </c>
      <c r="AT9" s="141">
        <f t="shared" si="44"/>
        <v>0</v>
      </c>
      <c r="AU9" s="141">
        <f t="shared" si="44"/>
        <v>0</v>
      </c>
      <c r="AV9" s="141">
        <f t="shared" si="44"/>
        <v>0</v>
      </c>
      <c r="AW9" s="141">
        <f t="shared" si="44"/>
        <v>0</v>
      </c>
      <c r="AX9" s="135">
        <f t="shared" si="45"/>
        <v>0</v>
      </c>
      <c r="AY9" s="135">
        <f t="shared" si="46"/>
        <v>0</v>
      </c>
      <c r="AZ9" s="133">
        <f t="shared" si="46"/>
        <v>0</v>
      </c>
      <c r="BA9" s="134">
        <f t="shared" si="46"/>
        <v>0</v>
      </c>
      <c r="BB9" s="142">
        <f t="shared" si="47"/>
        <v>0</v>
      </c>
      <c r="BC9" s="143">
        <f t="shared" si="48"/>
        <v>0</v>
      </c>
      <c r="BD9" s="138">
        <f t="shared" si="49"/>
        <v>0</v>
      </c>
      <c r="BE9" s="140">
        <f t="shared" si="50"/>
        <v>0</v>
      </c>
      <c r="BF9" s="141">
        <f t="shared" si="50"/>
        <v>0</v>
      </c>
      <c r="BG9" s="141">
        <f t="shared" si="50"/>
        <v>0</v>
      </c>
      <c r="BH9" s="141">
        <f t="shared" si="50"/>
        <v>0</v>
      </c>
      <c r="BI9" s="141">
        <f t="shared" si="50"/>
        <v>0</v>
      </c>
      <c r="BJ9" s="141">
        <f t="shared" si="50"/>
        <v>0</v>
      </c>
      <c r="BK9" s="144">
        <f t="shared" si="50"/>
        <v>0</v>
      </c>
      <c r="BL9" s="142">
        <f t="shared" si="51"/>
        <v>0</v>
      </c>
      <c r="BM9" s="143">
        <f t="shared" si="52"/>
        <v>0</v>
      </c>
      <c r="BN9" s="138">
        <f t="shared" si="53"/>
        <v>0</v>
      </c>
      <c r="BO9" s="140">
        <f t="shared" si="54"/>
        <v>0</v>
      </c>
      <c r="BP9" s="141">
        <f t="shared" si="54"/>
        <v>0</v>
      </c>
      <c r="BQ9" s="141">
        <f t="shared" si="54"/>
        <v>0</v>
      </c>
      <c r="BR9" s="141">
        <f t="shared" si="54"/>
        <v>0</v>
      </c>
      <c r="BS9" s="141">
        <f t="shared" si="54"/>
        <v>0</v>
      </c>
      <c r="BT9" s="141">
        <f t="shared" si="54"/>
        <v>0</v>
      </c>
      <c r="BU9" s="144">
        <f t="shared" si="54"/>
        <v>0</v>
      </c>
      <c r="BV9" s="7"/>
      <c r="BW9" s="122">
        <f t="shared" si="4"/>
        <v>11</v>
      </c>
      <c r="BX9" s="191">
        <f t="shared" si="5"/>
        <v>0</v>
      </c>
      <c r="BY9" s="191">
        <f t="shared" si="6"/>
        <v>7</v>
      </c>
      <c r="BZ9" s="191">
        <f t="shared" si="7"/>
        <v>0</v>
      </c>
      <c r="CA9" s="191">
        <f t="shared" si="8"/>
        <v>1</v>
      </c>
      <c r="CB9" s="191">
        <f t="shared" si="9"/>
        <v>3</v>
      </c>
      <c r="CC9" s="191">
        <f t="shared" si="10"/>
        <v>1</v>
      </c>
      <c r="CD9" s="191">
        <f t="shared" si="11"/>
        <v>1</v>
      </c>
      <c r="CE9" s="191">
        <f t="shared" si="12"/>
        <v>1</v>
      </c>
      <c r="CF9" s="191">
        <f t="shared" si="13"/>
        <v>4</v>
      </c>
      <c r="CG9" s="191">
        <f t="shared" si="14"/>
        <v>2</v>
      </c>
      <c r="CH9" s="191">
        <f t="shared" si="15"/>
        <v>0</v>
      </c>
      <c r="CI9" s="123">
        <f t="shared" si="16"/>
        <v>2</v>
      </c>
    </row>
    <row r="10" spans="1:87" s="4" customFormat="1" ht="39" customHeight="1">
      <c r="A10" s="42" t="s">
        <v>269</v>
      </c>
      <c r="B10" s="124">
        <f t="shared" si="0"/>
        <v>49</v>
      </c>
      <c r="C10" s="125">
        <f t="shared" si="17"/>
        <v>26</v>
      </c>
      <c r="D10" s="126">
        <f t="shared" si="18"/>
        <v>10</v>
      </c>
      <c r="E10" s="127">
        <f t="shared" si="19"/>
        <v>0</v>
      </c>
      <c r="F10" s="127">
        <f t="shared" si="20"/>
        <v>3</v>
      </c>
      <c r="G10" s="127">
        <f t="shared" si="21"/>
        <v>4</v>
      </c>
      <c r="H10" s="127">
        <f t="shared" si="22"/>
        <v>2</v>
      </c>
      <c r="I10" s="127">
        <f t="shared" si="23"/>
        <v>0</v>
      </c>
      <c r="J10" s="127">
        <f t="shared" si="24"/>
        <v>1</v>
      </c>
      <c r="K10" s="128">
        <f t="shared" si="25"/>
        <v>13</v>
      </c>
      <c r="L10" s="128">
        <f t="shared" si="26"/>
        <v>13</v>
      </c>
      <c r="M10" s="128">
        <f t="shared" si="27"/>
        <v>0</v>
      </c>
      <c r="N10" s="129">
        <f t="shared" si="28"/>
        <v>0</v>
      </c>
      <c r="O10" s="130">
        <f t="shared" si="29"/>
        <v>6</v>
      </c>
      <c r="P10" s="131">
        <f t="shared" si="30"/>
        <v>3</v>
      </c>
      <c r="Q10" s="131">
        <f t="shared" si="31"/>
        <v>2</v>
      </c>
      <c r="R10" s="132">
        <f t="shared" si="32"/>
        <v>0</v>
      </c>
      <c r="S10" s="132">
        <f t="shared" si="32"/>
        <v>0</v>
      </c>
      <c r="T10" s="132">
        <f t="shared" si="32"/>
        <v>0</v>
      </c>
      <c r="U10" s="132">
        <f t="shared" si="32"/>
        <v>2</v>
      </c>
      <c r="V10" s="132">
        <f t="shared" si="32"/>
        <v>0</v>
      </c>
      <c r="W10" s="132">
        <f t="shared" si="32"/>
        <v>0</v>
      </c>
      <c r="X10" s="128">
        <f t="shared" si="33"/>
        <v>1</v>
      </c>
      <c r="Y10" s="133">
        <f t="shared" si="34"/>
        <v>1</v>
      </c>
      <c r="Z10" s="133">
        <f t="shared" si="34"/>
        <v>0</v>
      </c>
      <c r="AA10" s="134">
        <f t="shared" si="34"/>
        <v>0</v>
      </c>
      <c r="AB10" s="130">
        <f t="shared" si="35"/>
        <v>29</v>
      </c>
      <c r="AC10" s="145">
        <f t="shared" si="36"/>
        <v>19</v>
      </c>
      <c r="AD10" s="131">
        <f t="shared" si="37"/>
        <v>7</v>
      </c>
      <c r="AE10" s="132">
        <f t="shared" si="38"/>
        <v>0</v>
      </c>
      <c r="AF10" s="135">
        <f t="shared" si="38"/>
        <v>3</v>
      </c>
      <c r="AG10" s="135">
        <f t="shared" si="38"/>
        <v>4</v>
      </c>
      <c r="AH10" s="135">
        <f t="shared" si="38"/>
        <v>0</v>
      </c>
      <c r="AI10" s="135">
        <f t="shared" si="38"/>
        <v>0</v>
      </c>
      <c r="AJ10" s="135">
        <f t="shared" si="38"/>
        <v>0</v>
      </c>
      <c r="AK10" s="135">
        <f t="shared" si="39"/>
        <v>3</v>
      </c>
      <c r="AL10" s="135">
        <f t="shared" si="40"/>
        <v>3</v>
      </c>
      <c r="AM10" s="133">
        <f t="shared" si="40"/>
        <v>0</v>
      </c>
      <c r="AN10" s="134">
        <f t="shared" si="40"/>
        <v>0</v>
      </c>
      <c r="AO10" s="130">
        <f t="shared" si="41"/>
        <v>14</v>
      </c>
      <c r="AP10" s="136">
        <f t="shared" si="42"/>
        <v>4</v>
      </c>
      <c r="AQ10" s="131">
        <f t="shared" si="43"/>
        <v>1</v>
      </c>
      <c r="AR10" s="146">
        <f t="shared" si="44"/>
        <v>0</v>
      </c>
      <c r="AS10" s="147">
        <f t="shared" si="44"/>
        <v>0</v>
      </c>
      <c r="AT10" s="147">
        <f t="shared" si="44"/>
        <v>0</v>
      </c>
      <c r="AU10" s="147">
        <f t="shared" si="44"/>
        <v>0</v>
      </c>
      <c r="AV10" s="147">
        <f t="shared" si="44"/>
        <v>0</v>
      </c>
      <c r="AW10" s="147">
        <f t="shared" si="44"/>
        <v>1</v>
      </c>
      <c r="AX10" s="135">
        <f t="shared" si="45"/>
        <v>9</v>
      </c>
      <c r="AY10" s="135">
        <f t="shared" si="46"/>
        <v>9</v>
      </c>
      <c r="AZ10" s="133">
        <f t="shared" si="46"/>
        <v>0</v>
      </c>
      <c r="BA10" s="134">
        <f t="shared" si="46"/>
        <v>0</v>
      </c>
      <c r="BB10" s="148">
        <f t="shared" si="47"/>
        <v>0</v>
      </c>
      <c r="BC10" s="149">
        <f t="shared" si="48"/>
        <v>0</v>
      </c>
      <c r="BD10" s="145">
        <f t="shared" si="49"/>
        <v>0</v>
      </c>
      <c r="BE10" s="146">
        <f t="shared" si="50"/>
        <v>0</v>
      </c>
      <c r="BF10" s="147">
        <f t="shared" si="50"/>
        <v>0</v>
      </c>
      <c r="BG10" s="147">
        <f t="shared" si="50"/>
        <v>0</v>
      </c>
      <c r="BH10" s="147">
        <f t="shared" si="50"/>
        <v>0</v>
      </c>
      <c r="BI10" s="147">
        <f t="shared" si="50"/>
        <v>0</v>
      </c>
      <c r="BJ10" s="147">
        <f t="shared" si="50"/>
        <v>0</v>
      </c>
      <c r="BK10" s="150">
        <f t="shared" si="50"/>
        <v>0</v>
      </c>
      <c r="BL10" s="148">
        <f t="shared" si="51"/>
        <v>0</v>
      </c>
      <c r="BM10" s="149">
        <f t="shared" si="52"/>
        <v>0</v>
      </c>
      <c r="BN10" s="145">
        <f t="shared" si="53"/>
        <v>0</v>
      </c>
      <c r="BO10" s="146">
        <f t="shared" si="54"/>
        <v>0</v>
      </c>
      <c r="BP10" s="147">
        <f t="shared" si="54"/>
        <v>0</v>
      </c>
      <c r="BQ10" s="147">
        <f t="shared" si="54"/>
        <v>0</v>
      </c>
      <c r="BR10" s="147">
        <f t="shared" si="54"/>
        <v>0</v>
      </c>
      <c r="BS10" s="147">
        <f t="shared" si="54"/>
        <v>0</v>
      </c>
      <c r="BT10" s="147">
        <f t="shared" si="54"/>
        <v>0</v>
      </c>
      <c r="BU10" s="150">
        <f t="shared" si="54"/>
        <v>0</v>
      </c>
      <c r="BV10" s="7"/>
      <c r="BW10" s="122">
        <f t="shared" si="4"/>
        <v>35</v>
      </c>
      <c r="BX10" s="191">
        <f t="shared" si="5"/>
        <v>22</v>
      </c>
      <c r="BY10" s="191">
        <f t="shared" si="6"/>
        <v>9</v>
      </c>
      <c r="BZ10" s="191">
        <f t="shared" si="7"/>
        <v>0</v>
      </c>
      <c r="CA10" s="191">
        <f t="shared" si="8"/>
        <v>3</v>
      </c>
      <c r="CB10" s="191">
        <f t="shared" si="9"/>
        <v>4</v>
      </c>
      <c r="CC10" s="191">
        <f t="shared" si="10"/>
        <v>2</v>
      </c>
      <c r="CD10" s="191">
        <f t="shared" si="11"/>
        <v>0</v>
      </c>
      <c r="CE10" s="191">
        <f t="shared" si="12"/>
        <v>0</v>
      </c>
      <c r="CF10" s="191">
        <f t="shared" si="13"/>
        <v>4</v>
      </c>
      <c r="CG10" s="191">
        <f t="shared" si="14"/>
        <v>4</v>
      </c>
      <c r="CH10" s="191">
        <f t="shared" si="15"/>
        <v>0</v>
      </c>
      <c r="CI10" s="123">
        <f t="shared" si="16"/>
        <v>0</v>
      </c>
    </row>
    <row r="11" spans="1:87" s="4" customFormat="1" ht="39" customHeight="1">
      <c r="A11" s="42" t="s">
        <v>167</v>
      </c>
      <c r="B11" s="124">
        <f t="shared" si="0"/>
        <v>46</v>
      </c>
      <c r="C11" s="125">
        <f t="shared" si="17"/>
        <v>12</v>
      </c>
      <c r="D11" s="126">
        <f t="shared" si="18"/>
        <v>18</v>
      </c>
      <c r="E11" s="127">
        <f t="shared" si="19"/>
        <v>0</v>
      </c>
      <c r="F11" s="127">
        <f t="shared" si="20"/>
        <v>7</v>
      </c>
      <c r="G11" s="127">
        <f t="shared" si="21"/>
        <v>4</v>
      </c>
      <c r="H11" s="127">
        <f t="shared" si="22"/>
        <v>1</v>
      </c>
      <c r="I11" s="127">
        <f t="shared" si="23"/>
        <v>4</v>
      </c>
      <c r="J11" s="127">
        <f t="shared" si="24"/>
        <v>2</v>
      </c>
      <c r="K11" s="128">
        <f t="shared" si="25"/>
        <v>16</v>
      </c>
      <c r="L11" s="128">
        <f t="shared" si="26"/>
        <v>11</v>
      </c>
      <c r="M11" s="128">
        <f t="shared" si="27"/>
        <v>4</v>
      </c>
      <c r="N11" s="129">
        <f t="shared" si="28"/>
        <v>1</v>
      </c>
      <c r="O11" s="130">
        <f t="shared" si="29"/>
        <v>21</v>
      </c>
      <c r="P11" s="131">
        <f t="shared" si="30"/>
        <v>0</v>
      </c>
      <c r="Q11" s="131">
        <f t="shared" si="31"/>
        <v>16</v>
      </c>
      <c r="R11" s="132">
        <f t="shared" si="32"/>
        <v>0</v>
      </c>
      <c r="S11" s="132">
        <f t="shared" si="32"/>
        <v>7</v>
      </c>
      <c r="T11" s="132">
        <f t="shared" si="32"/>
        <v>4</v>
      </c>
      <c r="U11" s="132">
        <f t="shared" si="32"/>
        <v>1</v>
      </c>
      <c r="V11" s="132">
        <f t="shared" si="32"/>
        <v>2</v>
      </c>
      <c r="W11" s="132">
        <f t="shared" si="32"/>
        <v>2</v>
      </c>
      <c r="X11" s="128">
        <f t="shared" si="33"/>
        <v>5</v>
      </c>
      <c r="Y11" s="133">
        <f t="shared" si="34"/>
        <v>5</v>
      </c>
      <c r="Z11" s="133">
        <f t="shared" si="34"/>
        <v>0</v>
      </c>
      <c r="AA11" s="134">
        <f t="shared" si="34"/>
        <v>0</v>
      </c>
      <c r="AB11" s="130">
        <f t="shared" si="35"/>
        <v>19</v>
      </c>
      <c r="AC11" s="145">
        <f t="shared" si="36"/>
        <v>12</v>
      </c>
      <c r="AD11" s="131">
        <f t="shared" si="37"/>
        <v>2</v>
      </c>
      <c r="AE11" s="132">
        <f t="shared" si="38"/>
        <v>0</v>
      </c>
      <c r="AF11" s="135">
        <f t="shared" si="38"/>
        <v>0</v>
      </c>
      <c r="AG11" s="135">
        <f t="shared" si="38"/>
        <v>0</v>
      </c>
      <c r="AH11" s="135">
        <f t="shared" si="38"/>
        <v>0</v>
      </c>
      <c r="AI11" s="135">
        <f t="shared" si="38"/>
        <v>2</v>
      </c>
      <c r="AJ11" s="135">
        <f t="shared" si="38"/>
        <v>0</v>
      </c>
      <c r="AK11" s="135">
        <f t="shared" si="39"/>
        <v>5</v>
      </c>
      <c r="AL11" s="135">
        <f t="shared" si="40"/>
        <v>0</v>
      </c>
      <c r="AM11" s="133">
        <f t="shared" si="40"/>
        <v>4</v>
      </c>
      <c r="AN11" s="134">
        <f t="shared" si="40"/>
        <v>1</v>
      </c>
      <c r="AO11" s="130">
        <f t="shared" si="41"/>
        <v>6</v>
      </c>
      <c r="AP11" s="136">
        <f t="shared" si="42"/>
        <v>0</v>
      </c>
      <c r="AQ11" s="131">
        <f t="shared" si="43"/>
        <v>0</v>
      </c>
      <c r="AR11" s="146">
        <f t="shared" si="44"/>
        <v>0</v>
      </c>
      <c r="AS11" s="147">
        <f t="shared" si="44"/>
        <v>0</v>
      </c>
      <c r="AT11" s="147">
        <f t="shared" si="44"/>
        <v>0</v>
      </c>
      <c r="AU11" s="147">
        <f t="shared" si="44"/>
        <v>0</v>
      </c>
      <c r="AV11" s="147">
        <f t="shared" si="44"/>
        <v>0</v>
      </c>
      <c r="AW11" s="147">
        <f t="shared" si="44"/>
        <v>0</v>
      </c>
      <c r="AX11" s="135">
        <f t="shared" si="45"/>
        <v>6</v>
      </c>
      <c r="AY11" s="135">
        <f t="shared" si="46"/>
        <v>6</v>
      </c>
      <c r="AZ11" s="133">
        <f t="shared" si="46"/>
        <v>0</v>
      </c>
      <c r="BA11" s="134">
        <f t="shared" si="46"/>
        <v>0</v>
      </c>
      <c r="BB11" s="148">
        <f t="shared" si="47"/>
        <v>0</v>
      </c>
      <c r="BC11" s="149">
        <f t="shared" si="48"/>
        <v>0</v>
      </c>
      <c r="BD11" s="145">
        <f t="shared" si="49"/>
        <v>0</v>
      </c>
      <c r="BE11" s="146">
        <f t="shared" si="50"/>
        <v>0</v>
      </c>
      <c r="BF11" s="147">
        <f t="shared" si="50"/>
        <v>0</v>
      </c>
      <c r="BG11" s="147">
        <f t="shared" si="50"/>
        <v>0</v>
      </c>
      <c r="BH11" s="147">
        <f t="shared" si="50"/>
        <v>0</v>
      </c>
      <c r="BI11" s="147">
        <f t="shared" si="50"/>
        <v>0</v>
      </c>
      <c r="BJ11" s="147">
        <f t="shared" si="50"/>
        <v>0</v>
      </c>
      <c r="BK11" s="150">
        <f t="shared" si="50"/>
        <v>0</v>
      </c>
      <c r="BL11" s="148">
        <f t="shared" si="51"/>
        <v>0</v>
      </c>
      <c r="BM11" s="149">
        <f t="shared" si="52"/>
        <v>0</v>
      </c>
      <c r="BN11" s="145">
        <f t="shared" si="53"/>
        <v>0</v>
      </c>
      <c r="BO11" s="146">
        <f t="shared" si="54"/>
        <v>0</v>
      </c>
      <c r="BP11" s="147">
        <f t="shared" si="54"/>
        <v>0</v>
      </c>
      <c r="BQ11" s="147">
        <f t="shared" si="54"/>
        <v>0</v>
      </c>
      <c r="BR11" s="147">
        <f t="shared" si="54"/>
        <v>0</v>
      </c>
      <c r="BS11" s="147">
        <f t="shared" si="54"/>
        <v>0</v>
      </c>
      <c r="BT11" s="147">
        <f t="shared" si="54"/>
        <v>0</v>
      </c>
      <c r="BU11" s="150">
        <f t="shared" si="54"/>
        <v>0</v>
      </c>
      <c r="BV11" s="7"/>
      <c r="BW11" s="122">
        <f t="shared" si="4"/>
        <v>40</v>
      </c>
      <c r="BX11" s="191">
        <f t="shared" si="5"/>
        <v>12</v>
      </c>
      <c r="BY11" s="191">
        <f t="shared" si="6"/>
        <v>18</v>
      </c>
      <c r="BZ11" s="191">
        <f t="shared" si="7"/>
        <v>0</v>
      </c>
      <c r="CA11" s="191">
        <f t="shared" si="8"/>
        <v>7</v>
      </c>
      <c r="CB11" s="191">
        <f t="shared" si="9"/>
        <v>4</v>
      </c>
      <c r="CC11" s="191">
        <f t="shared" si="10"/>
        <v>1</v>
      </c>
      <c r="CD11" s="191">
        <f t="shared" si="11"/>
        <v>4</v>
      </c>
      <c r="CE11" s="191">
        <f t="shared" si="12"/>
        <v>2</v>
      </c>
      <c r="CF11" s="191">
        <f t="shared" si="13"/>
        <v>10</v>
      </c>
      <c r="CG11" s="191">
        <f t="shared" si="14"/>
        <v>5</v>
      </c>
      <c r="CH11" s="191">
        <f t="shared" si="15"/>
        <v>4</v>
      </c>
      <c r="CI11" s="123">
        <f t="shared" si="16"/>
        <v>1</v>
      </c>
    </row>
    <row r="12" spans="1:87" s="4" customFormat="1" ht="39" customHeight="1">
      <c r="A12" s="42" t="s">
        <v>376</v>
      </c>
      <c r="B12" s="124">
        <f t="shared" si="0"/>
        <v>38</v>
      </c>
      <c r="C12" s="125">
        <f t="shared" si="17"/>
        <v>14</v>
      </c>
      <c r="D12" s="126">
        <f t="shared" si="18"/>
        <v>12</v>
      </c>
      <c r="E12" s="127">
        <f t="shared" si="19"/>
        <v>2</v>
      </c>
      <c r="F12" s="127">
        <f t="shared" si="20"/>
        <v>3</v>
      </c>
      <c r="G12" s="127">
        <f t="shared" si="21"/>
        <v>0</v>
      </c>
      <c r="H12" s="127">
        <f t="shared" si="22"/>
        <v>3</v>
      </c>
      <c r="I12" s="127">
        <f t="shared" si="23"/>
        <v>1</v>
      </c>
      <c r="J12" s="127">
        <f t="shared" si="24"/>
        <v>3</v>
      </c>
      <c r="K12" s="128">
        <f t="shared" si="25"/>
        <v>12</v>
      </c>
      <c r="L12" s="128">
        <f t="shared" si="26"/>
        <v>7</v>
      </c>
      <c r="M12" s="128">
        <f t="shared" si="27"/>
        <v>2</v>
      </c>
      <c r="N12" s="129">
        <f t="shared" si="28"/>
        <v>3</v>
      </c>
      <c r="O12" s="130">
        <f t="shared" si="29"/>
        <v>12</v>
      </c>
      <c r="P12" s="131">
        <f t="shared" si="30"/>
        <v>0</v>
      </c>
      <c r="Q12" s="131">
        <f t="shared" si="31"/>
        <v>7</v>
      </c>
      <c r="R12" s="132">
        <f t="shared" si="32"/>
        <v>1</v>
      </c>
      <c r="S12" s="132">
        <f t="shared" si="32"/>
        <v>1</v>
      </c>
      <c r="T12" s="132">
        <f t="shared" si="32"/>
        <v>0</v>
      </c>
      <c r="U12" s="132">
        <f t="shared" si="32"/>
        <v>2</v>
      </c>
      <c r="V12" s="132">
        <f t="shared" si="32"/>
        <v>1</v>
      </c>
      <c r="W12" s="132">
        <f t="shared" si="32"/>
        <v>2</v>
      </c>
      <c r="X12" s="128">
        <f t="shared" si="33"/>
        <v>5</v>
      </c>
      <c r="Y12" s="133">
        <f t="shared" si="34"/>
        <v>0</v>
      </c>
      <c r="Z12" s="133">
        <f t="shared" si="34"/>
        <v>2</v>
      </c>
      <c r="AA12" s="134">
        <f t="shared" si="34"/>
        <v>3</v>
      </c>
      <c r="AB12" s="130">
        <f t="shared" si="35"/>
        <v>26</v>
      </c>
      <c r="AC12" s="145">
        <f t="shared" si="36"/>
        <v>14</v>
      </c>
      <c r="AD12" s="131">
        <f t="shared" si="37"/>
        <v>5</v>
      </c>
      <c r="AE12" s="132">
        <f t="shared" si="38"/>
        <v>1</v>
      </c>
      <c r="AF12" s="135">
        <f t="shared" si="38"/>
        <v>2</v>
      </c>
      <c r="AG12" s="135">
        <f t="shared" si="38"/>
        <v>0</v>
      </c>
      <c r="AH12" s="135">
        <f t="shared" si="38"/>
        <v>1</v>
      </c>
      <c r="AI12" s="135">
        <f t="shared" si="38"/>
        <v>0</v>
      </c>
      <c r="AJ12" s="135">
        <f t="shared" si="38"/>
        <v>1</v>
      </c>
      <c r="AK12" s="135">
        <f t="shared" si="39"/>
        <v>7</v>
      </c>
      <c r="AL12" s="135">
        <f t="shared" si="40"/>
        <v>7</v>
      </c>
      <c r="AM12" s="133">
        <f t="shared" si="40"/>
        <v>0</v>
      </c>
      <c r="AN12" s="134">
        <f t="shared" si="40"/>
        <v>0</v>
      </c>
      <c r="AO12" s="130">
        <f t="shared" si="41"/>
        <v>0</v>
      </c>
      <c r="AP12" s="136">
        <f t="shared" si="42"/>
        <v>0</v>
      </c>
      <c r="AQ12" s="131">
        <f t="shared" si="43"/>
        <v>0</v>
      </c>
      <c r="AR12" s="146">
        <f t="shared" si="44"/>
        <v>0</v>
      </c>
      <c r="AS12" s="147">
        <f t="shared" si="44"/>
        <v>0</v>
      </c>
      <c r="AT12" s="147">
        <f t="shared" si="44"/>
        <v>0</v>
      </c>
      <c r="AU12" s="147">
        <f t="shared" si="44"/>
        <v>0</v>
      </c>
      <c r="AV12" s="147">
        <f t="shared" si="44"/>
        <v>0</v>
      </c>
      <c r="AW12" s="147">
        <f t="shared" si="44"/>
        <v>0</v>
      </c>
      <c r="AX12" s="135">
        <f t="shared" si="45"/>
        <v>0</v>
      </c>
      <c r="AY12" s="135">
        <f t="shared" si="46"/>
        <v>0</v>
      </c>
      <c r="AZ12" s="133">
        <f t="shared" si="46"/>
        <v>0</v>
      </c>
      <c r="BA12" s="134">
        <f t="shared" si="46"/>
        <v>0</v>
      </c>
      <c r="BB12" s="148">
        <f t="shared" si="47"/>
        <v>0</v>
      </c>
      <c r="BC12" s="149">
        <f t="shared" si="48"/>
        <v>0</v>
      </c>
      <c r="BD12" s="145">
        <f t="shared" si="49"/>
        <v>0</v>
      </c>
      <c r="BE12" s="146">
        <f t="shared" si="50"/>
        <v>0</v>
      </c>
      <c r="BF12" s="147">
        <f t="shared" si="50"/>
        <v>0</v>
      </c>
      <c r="BG12" s="147">
        <f t="shared" si="50"/>
        <v>0</v>
      </c>
      <c r="BH12" s="147">
        <f t="shared" si="50"/>
        <v>0</v>
      </c>
      <c r="BI12" s="147">
        <f t="shared" si="50"/>
        <v>0</v>
      </c>
      <c r="BJ12" s="147">
        <f t="shared" si="50"/>
        <v>0</v>
      </c>
      <c r="BK12" s="150">
        <f t="shared" si="50"/>
        <v>0</v>
      </c>
      <c r="BL12" s="148">
        <f t="shared" si="51"/>
        <v>0</v>
      </c>
      <c r="BM12" s="149">
        <f t="shared" si="52"/>
        <v>0</v>
      </c>
      <c r="BN12" s="145">
        <f t="shared" si="53"/>
        <v>0</v>
      </c>
      <c r="BO12" s="146">
        <f t="shared" si="54"/>
        <v>0</v>
      </c>
      <c r="BP12" s="147">
        <f t="shared" si="54"/>
        <v>0</v>
      </c>
      <c r="BQ12" s="147">
        <f t="shared" si="54"/>
        <v>0</v>
      </c>
      <c r="BR12" s="147">
        <f t="shared" si="54"/>
        <v>0</v>
      </c>
      <c r="BS12" s="147">
        <f t="shared" si="54"/>
        <v>0</v>
      </c>
      <c r="BT12" s="147">
        <f t="shared" si="54"/>
        <v>0</v>
      </c>
      <c r="BU12" s="150">
        <f t="shared" si="54"/>
        <v>0</v>
      </c>
      <c r="BV12" s="7"/>
      <c r="BW12" s="122">
        <f t="shared" si="4"/>
        <v>38</v>
      </c>
      <c r="BX12" s="191">
        <f t="shared" si="5"/>
        <v>14</v>
      </c>
      <c r="BY12" s="191">
        <f t="shared" si="6"/>
        <v>12</v>
      </c>
      <c r="BZ12" s="191">
        <f t="shared" si="7"/>
        <v>2</v>
      </c>
      <c r="CA12" s="191">
        <f t="shared" si="8"/>
        <v>3</v>
      </c>
      <c r="CB12" s="191">
        <f t="shared" si="9"/>
        <v>0</v>
      </c>
      <c r="CC12" s="191">
        <f t="shared" si="10"/>
        <v>3</v>
      </c>
      <c r="CD12" s="191">
        <f t="shared" si="11"/>
        <v>1</v>
      </c>
      <c r="CE12" s="191">
        <f t="shared" si="12"/>
        <v>3</v>
      </c>
      <c r="CF12" s="191">
        <f t="shared" si="13"/>
        <v>12</v>
      </c>
      <c r="CG12" s="191">
        <f t="shared" si="14"/>
        <v>7</v>
      </c>
      <c r="CH12" s="191">
        <f t="shared" si="15"/>
        <v>2</v>
      </c>
      <c r="CI12" s="123">
        <f t="shared" si="16"/>
        <v>3</v>
      </c>
    </row>
    <row r="13" spans="1:87" s="4" customFormat="1" ht="39" customHeight="1">
      <c r="A13" s="42" t="s">
        <v>811</v>
      </c>
      <c r="B13" s="124">
        <f t="shared" si="0"/>
        <v>16</v>
      </c>
      <c r="C13" s="125">
        <f t="shared" si="17"/>
        <v>15</v>
      </c>
      <c r="D13" s="126">
        <f t="shared" si="18"/>
        <v>1</v>
      </c>
      <c r="E13" s="127">
        <f t="shared" si="19"/>
        <v>0</v>
      </c>
      <c r="F13" s="127">
        <f t="shared" si="20"/>
        <v>0</v>
      </c>
      <c r="G13" s="127">
        <f t="shared" si="21"/>
        <v>0</v>
      </c>
      <c r="H13" s="127">
        <f t="shared" si="22"/>
        <v>1</v>
      </c>
      <c r="I13" s="127">
        <f t="shared" si="23"/>
        <v>0</v>
      </c>
      <c r="J13" s="127">
        <f t="shared" si="24"/>
        <v>0</v>
      </c>
      <c r="K13" s="128">
        <f t="shared" si="25"/>
        <v>0</v>
      </c>
      <c r="L13" s="128">
        <f t="shared" si="26"/>
        <v>0</v>
      </c>
      <c r="M13" s="128">
        <f t="shared" si="27"/>
        <v>0</v>
      </c>
      <c r="N13" s="129">
        <f t="shared" si="28"/>
        <v>0</v>
      </c>
      <c r="O13" s="130">
        <f t="shared" si="29"/>
        <v>14</v>
      </c>
      <c r="P13" s="131">
        <f t="shared" si="30"/>
        <v>14</v>
      </c>
      <c r="Q13" s="131">
        <f t="shared" si="31"/>
        <v>0</v>
      </c>
      <c r="R13" s="132">
        <f t="shared" si="32"/>
        <v>0</v>
      </c>
      <c r="S13" s="132">
        <f t="shared" si="32"/>
        <v>0</v>
      </c>
      <c r="T13" s="132">
        <f t="shared" si="32"/>
        <v>0</v>
      </c>
      <c r="U13" s="132">
        <f t="shared" si="32"/>
        <v>0</v>
      </c>
      <c r="V13" s="132">
        <f t="shared" si="32"/>
        <v>0</v>
      </c>
      <c r="W13" s="132">
        <f t="shared" si="32"/>
        <v>0</v>
      </c>
      <c r="X13" s="128">
        <f t="shared" si="33"/>
        <v>0</v>
      </c>
      <c r="Y13" s="133">
        <f t="shared" si="34"/>
        <v>0</v>
      </c>
      <c r="Z13" s="133">
        <f t="shared" si="34"/>
        <v>0</v>
      </c>
      <c r="AA13" s="134">
        <f t="shared" si="34"/>
        <v>0</v>
      </c>
      <c r="AB13" s="130">
        <f t="shared" si="35"/>
        <v>2</v>
      </c>
      <c r="AC13" s="145">
        <f t="shared" si="36"/>
        <v>1</v>
      </c>
      <c r="AD13" s="131">
        <f t="shared" si="37"/>
        <v>1</v>
      </c>
      <c r="AE13" s="132">
        <f t="shared" si="38"/>
        <v>0</v>
      </c>
      <c r="AF13" s="135">
        <f t="shared" si="38"/>
        <v>0</v>
      </c>
      <c r="AG13" s="135">
        <f t="shared" si="38"/>
        <v>0</v>
      </c>
      <c r="AH13" s="135">
        <f t="shared" si="38"/>
        <v>1</v>
      </c>
      <c r="AI13" s="135">
        <f t="shared" si="38"/>
        <v>0</v>
      </c>
      <c r="AJ13" s="135">
        <f t="shared" si="38"/>
        <v>0</v>
      </c>
      <c r="AK13" s="135">
        <f t="shared" si="39"/>
        <v>0</v>
      </c>
      <c r="AL13" s="135">
        <f t="shared" si="40"/>
        <v>0</v>
      </c>
      <c r="AM13" s="133">
        <f t="shared" si="40"/>
        <v>0</v>
      </c>
      <c r="AN13" s="134">
        <f t="shared" si="40"/>
        <v>0</v>
      </c>
      <c r="AO13" s="130">
        <f t="shared" si="41"/>
        <v>0</v>
      </c>
      <c r="AP13" s="136">
        <f t="shared" si="42"/>
        <v>0</v>
      </c>
      <c r="AQ13" s="131">
        <f t="shared" si="43"/>
        <v>0</v>
      </c>
      <c r="AR13" s="146">
        <f t="shared" si="44"/>
        <v>0</v>
      </c>
      <c r="AS13" s="147">
        <f t="shared" si="44"/>
        <v>0</v>
      </c>
      <c r="AT13" s="147">
        <f t="shared" si="44"/>
        <v>0</v>
      </c>
      <c r="AU13" s="147">
        <f t="shared" si="44"/>
        <v>0</v>
      </c>
      <c r="AV13" s="147">
        <f t="shared" si="44"/>
        <v>0</v>
      </c>
      <c r="AW13" s="147">
        <f t="shared" si="44"/>
        <v>0</v>
      </c>
      <c r="AX13" s="135">
        <f t="shared" si="45"/>
        <v>0</v>
      </c>
      <c r="AY13" s="135">
        <f t="shared" si="46"/>
        <v>0</v>
      </c>
      <c r="AZ13" s="133">
        <f t="shared" si="46"/>
        <v>0</v>
      </c>
      <c r="BA13" s="134">
        <f t="shared" si="46"/>
        <v>0</v>
      </c>
      <c r="BB13" s="148">
        <f t="shared" si="47"/>
        <v>0</v>
      </c>
      <c r="BC13" s="149">
        <f t="shared" si="48"/>
        <v>0</v>
      </c>
      <c r="BD13" s="145">
        <f t="shared" si="49"/>
        <v>0</v>
      </c>
      <c r="BE13" s="146">
        <f t="shared" si="50"/>
        <v>0</v>
      </c>
      <c r="BF13" s="147">
        <f t="shared" si="50"/>
        <v>0</v>
      </c>
      <c r="BG13" s="147">
        <f t="shared" si="50"/>
        <v>0</v>
      </c>
      <c r="BH13" s="147">
        <f t="shared" si="50"/>
        <v>0</v>
      </c>
      <c r="BI13" s="147">
        <f t="shared" si="50"/>
        <v>0</v>
      </c>
      <c r="BJ13" s="147">
        <f t="shared" si="50"/>
        <v>0</v>
      </c>
      <c r="BK13" s="150">
        <f t="shared" si="50"/>
        <v>0</v>
      </c>
      <c r="BL13" s="148">
        <f t="shared" si="51"/>
        <v>0</v>
      </c>
      <c r="BM13" s="149">
        <f t="shared" si="52"/>
        <v>0</v>
      </c>
      <c r="BN13" s="145">
        <f t="shared" si="53"/>
        <v>0</v>
      </c>
      <c r="BO13" s="146">
        <f t="shared" si="54"/>
        <v>0</v>
      </c>
      <c r="BP13" s="147">
        <f t="shared" si="54"/>
        <v>0</v>
      </c>
      <c r="BQ13" s="147">
        <f t="shared" si="54"/>
        <v>0</v>
      </c>
      <c r="BR13" s="147">
        <f t="shared" si="54"/>
        <v>0</v>
      </c>
      <c r="BS13" s="147">
        <f t="shared" si="54"/>
        <v>0</v>
      </c>
      <c r="BT13" s="147">
        <f t="shared" si="54"/>
        <v>0</v>
      </c>
      <c r="BU13" s="150">
        <f t="shared" si="54"/>
        <v>0</v>
      </c>
      <c r="BV13" s="7"/>
      <c r="BW13" s="122">
        <f t="shared" si="4"/>
        <v>16</v>
      </c>
      <c r="BX13" s="191">
        <f t="shared" si="5"/>
        <v>15</v>
      </c>
      <c r="BY13" s="191">
        <f t="shared" si="6"/>
        <v>1</v>
      </c>
      <c r="BZ13" s="191">
        <f t="shared" si="7"/>
        <v>0</v>
      </c>
      <c r="CA13" s="191">
        <f t="shared" si="8"/>
        <v>0</v>
      </c>
      <c r="CB13" s="191">
        <f t="shared" si="9"/>
        <v>0</v>
      </c>
      <c r="CC13" s="191">
        <f t="shared" si="10"/>
        <v>1</v>
      </c>
      <c r="CD13" s="191">
        <f t="shared" si="11"/>
        <v>0</v>
      </c>
      <c r="CE13" s="191">
        <f t="shared" si="12"/>
        <v>0</v>
      </c>
      <c r="CF13" s="191">
        <f t="shared" si="13"/>
        <v>0</v>
      </c>
      <c r="CG13" s="191">
        <f t="shared" si="14"/>
        <v>0</v>
      </c>
      <c r="CH13" s="191">
        <f t="shared" si="15"/>
        <v>0</v>
      </c>
      <c r="CI13" s="123">
        <f t="shared" si="16"/>
        <v>0</v>
      </c>
    </row>
    <row r="14" spans="1:87" s="4" customFormat="1" ht="39" customHeight="1">
      <c r="A14" s="42" t="s">
        <v>463</v>
      </c>
      <c r="B14" s="124">
        <f t="shared" si="0"/>
        <v>69</v>
      </c>
      <c r="C14" s="125">
        <f t="shared" si="17"/>
        <v>24</v>
      </c>
      <c r="D14" s="126">
        <f t="shared" si="18"/>
        <v>25</v>
      </c>
      <c r="E14" s="127">
        <f t="shared" si="19"/>
        <v>0</v>
      </c>
      <c r="F14" s="127">
        <f t="shared" si="20"/>
        <v>9</v>
      </c>
      <c r="G14" s="127">
        <f t="shared" si="21"/>
        <v>9</v>
      </c>
      <c r="H14" s="127">
        <f t="shared" si="22"/>
        <v>3</v>
      </c>
      <c r="I14" s="127">
        <f t="shared" si="23"/>
        <v>1</v>
      </c>
      <c r="J14" s="127">
        <f t="shared" si="24"/>
        <v>3</v>
      </c>
      <c r="K14" s="128">
        <f t="shared" si="25"/>
        <v>20</v>
      </c>
      <c r="L14" s="128">
        <f t="shared" si="26"/>
        <v>5</v>
      </c>
      <c r="M14" s="128">
        <f t="shared" si="27"/>
        <v>10</v>
      </c>
      <c r="N14" s="129">
        <f t="shared" si="28"/>
        <v>5</v>
      </c>
      <c r="O14" s="130">
        <f t="shared" si="29"/>
        <v>0</v>
      </c>
      <c r="P14" s="131">
        <f t="shared" si="30"/>
        <v>0</v>
      </c>
      <c r="Q14" s="131">
        <f t="shared" si="31"/>
        <v>0</v>
      </c>
      <c r="R14" s="132">
        <f t="shared" si="32"/>
        <v>0</v>
      </c>
      <c r="S14" s="132">
        <f t="shared" si="32"/>
        <v>0</v>
      </c>
      <c r="T14" s="132">
        <f t="shared" si="32"/>
        <v>0</v>
      </c>
      <c r="U14" s="132">
        <f t="shared" si="32"/>
        <v>0</v>
      </c>
      <c r="V14" s="132">
        <f t="shared" si="32"/>
        <v>0</v>
      </c>
      <c r="W14" s="132">
        <f t="shared" si="32"/>
        <v>0</v>
      </c>
      <c r="X14" s="128">
        <f t="shared" si="33"/>
        <v>0</v>
      </c>
      <c r="Y14" s="133">
        <f t="shared" si="34"/>
        <v>0</v>
      </c>
      <c r="Z14" s="133">
        <f t="shared" si="34"/>
        <v>0</v>
      </c>
      <c r="AA14" s="134">
        <f t="shared" si="34"/>
        <v>0</v>
      </c>
      <c r="AB14" s="130">
        <f t="shared" si="35"/>
        <v>69</v>
      </c>
      <c r="AC14" s="145">
        <f t="shared" si="36"/>
        <v>24</v>
      </c>
      <c r="AD14" s="131">
        <f t="shared" si="37"/>
        <v>25</v>
      </c>
      <c r="AE14" s="132">
        <f t="shared" si="38"/>
        <v>0</v>
      </c>
      <c r="AF14" s="135">
        <f t="shared" si="38"/>
        <v>9</v>
      </c>
      <c r="AG14" s="135">
        <f t="shared" si="38"/>
        <v>9</v>
      </c>
      <c r="AH14" s="135">
        <f t="shared" si="38"/>
        <v>3</v>
      </c>
      <c r="AI14" s="135">
        <f t="shared" si="38"/>
        <v>1</v>
      </c>
      <c r="AJ14" s="135">
        <f t="shared" si="38"/>
        <v>3</v>
      </c>
      <c r="AK14" s="135">
        <f t="shared" si="39"/>
        <v>20</v>
      </c>
      <c r="AL14" s="135">
        <f t="shared" si="40"/>
        <v>5</v>
      </c>
      <c r="AM14" s="133">
        <f t="shared" si="40"/>
        <v>10</v>
      </c>
      <c r="AN14" s="134">
        <f t="shared" si="40"/>
        <v>5</v>
      </c>
      <c r="AO14" s="130">
        <f t="shared" si="41"/>
        <v>0</v>
      </c>
      <c r="AP14" s="136">
        <f t="shared" si="42"/>
        <v>0</v>
      </c>
      <c r="AQ14" s="131">
        <f t="shared" si="43"/>
        <v>0</v>
      </c>
      <c r="AR14" s="146">
        <f t="shared" si="44"/>
        <v>0</v>
      </c>
      <c r="AS14" s="147">
        <f t="shared" si="44"/>
        <v>0</v>
      </c>
      <c r="AT14" s="147">
        <f t="shared" si="44"/>
        <v>0</v>
      </c>
      <c r="AU14" s="147">
        <f t="shared" si="44"/>
        <v>0</v>
      </c>
      <c r="AV14" s="147">
        <f t="shared" si="44"/>
        <v>0</v>
      </c>
      <c r="AW14" s="147">
        <f t="shared" si="44"/>
        <v>0</v>
      </c>
      <c r="AX14" s="135">
        <f t="shared" si="45"/>
        <v>0</v>
      </c>
      <c r="AY14" s="135">
        <f t="shared" si="46"/>
        <v>0</v>
      </c>
      <c r="AZ14" s="133">
        <f t="shared" si="46"/>
        <v>0</v>
      </c>
      <c r="BA14" s="134">
        <f t="shared" si="46"/>
        <v>0</v>
      </c>
      <c r="BB14" s="148">
        <f t="shared" si="47"/>
        <v>0</v>
      </c>
      <c r="BC14" s="149">
        <f t="shared" si="48"/>
        <v>0</v>
      </c>
      <c r="BD14" s="145">
        <f t="shared" si="49"/>
        <v>0</v>
      </c>
      <c r="BE14" s="146">
        <f t="shared" si="50"/>
        <v>0</v>
      </c>
      <c r="BF14" s="147">
        <f t="shared" si="50"/>
        <v>0</v>
      </c>
      <c r="BG14" s="147">
        <f t="shared" si="50"/>
        <v>0</v>
      </c>
      <c r="BH14" s="147">
        <f t="shared" si="50"/>
        <v>0</v>
      </c>
      <c r="BI14" s="147">
        <f t="shared" si="50"/>
        <v>0</v>
      </c>
      <c r="BJ14" s="147">
        <f t="shared" si="50"/>
        <v>0</v>
      </c>
      <c r="BK14" s="150">
        <f t="shared" si="50"/>
        <v>0</v>
      </c>
      <c r="BL14" s="148">
        <f t="shared" si="51"/>
        <v>0</v>
      </c>
      <c r="BM14" s="149">
        <f t="shared" si="52"/>
        <v>0</v>
      </c>
      <c r="BN14" s="145">
        <f t="shared" si="53"/>
        <v>0</v>
      </c>
      <c r="BO14" s="146">
        <f t="shared" si="54"/>
        <v>0</v>
      </c>
      <c r="BP14" s="147">
        <f t="shared" si="54"/>
        <v>0</v>
      </c>
      <c r="BQ14" s="147">
        <f t="shared" si="54"/>
        <v>0</v>
      </c>
      <c r="BR14" s="147">
        <f t="shared" si="54"/>
        <v>0</v>
      </c>
      <c r="BS14" s="147">
        <f t="shared" si="54"/>
        <v>0</v>
      </c>
      <c r="BT14" s="147">
        <f t="shared" si="54"/>
        <v>0</v>
      </c>
      <c r="BU14" s="150">
        <f t="shared" si="54"/>
        <v>0</v>
      </c>
      <c r="BV14" s="7"/>
      <c r="BW14" s="122">
        <f t="shared" si="4"/>
        <v>69</v>
      </c>
      <c r="BX14" s="191">
        <f t="shared" si="5"/>
        <v>24</v>
      </c>
      <c r="BY14" s="191">
        <f t="shared" si="6"/>
        <v>25</v>
      </c>
      <c r="BZ14" s="191">
        <f t="shared" si="7"/>
        <v>0</v>
      </c>
      <c r="CA14" s="191">
        <f t="shared" si="8"/>
        <v>9</v>
      </c>
      <c r="CB14" s="191">
        <f t="shared" si="9"/>
        <v>9</v>
      </c>
      <c r="CC14" s="191">
        <f t="shared" si="10"/>
        <v>3</v>
      </c>
      <c r="CD14" s="191">
        <f t="shared" si="11"/>
        <v>1</v>
      </c>
      <c r="CE14" s="191">
        <f t="shared" si="12"/>
        <v>3</v>
      </c>
      <c r="CF14" s="191">
        <f t="shared" si="13"/>
        <v>20</v>
      </c>
      <c r="CG14" s="191">
        <f t="shared" si="14"/>
        <v>5</v>
      </c>
      <c r="CH14" s="191">
        <f t="shared" si="15"/>
        <v>10</v>
      </c>
      <c r="CI14" s="123">
        <f t="shared" si="16"/>
        <v>5</v>
      </c>
    </row>
    <row r="15" spans="1:87" s="4" customFormat="1" ht="39" customHeight="1">
      <c r="A15" s="42" t="s">
        <v>1175</v>
      </c>
      <c r="B15" s="124">
        <f t="shared" si="0"/>
        <v>14</v>
      </c>
      <c r="C15" s="125">
        <f t="shared" si="17"/>
        <v>2</v>
      </c>
      <c r="D15" s="126">
        <f t="shared" si="18"/>
        <v>8</v>
      </c>
      <c r="E15" s="127">
        <f t="shared" si="19"/>
        <v>1</v>
      </c>
      <c r="F15" s="127">
        <f t="shared" si="20"/>
        <v>4</v>
      </c>
      <c r="G15" s="127">
        <f t="shared" si="21"/>
        <v>0</v>
      </c>
      <c r="H15" s="127">
        <f t="shared" si="22"/>
        <v>0</v>
      </c>
      <c r="I15" s="127">
        <f t="shared" si="23"/>
        <v>3</v>
      </c>
      <c r="J15" s="127">
        <f t="shared" si="24"/>
        <v>0</v>
      </c>
      <c r="K15" s="128">
        <f t="shared" si="25"/>
        <v>4</v>
      </c>
      <c r="L15" s="128">
        <f t="shared" si="26"/>
        <v>1</v>
      </c>
      <c r="M15" s="128">
        <f t="shared" si="27"/>
        <v>1</v>
      </c>
      <c r="N15" s="129">
        <f t="shared" si="28"/>
        <v>2</v>
      </c>
      <c r="O15" s="130">
        <f t="shared" si="29"/>
        <v>7</v>
      </c>
      <c r="P15" s="131">
        <f t="shared" si="30"/>
        <v>1</v>
      </c>
      <c r="Q15" s="131">
        <f t="shared" si="31"/>
        <v>6</v>
      </c>
      <c r="R15" s="132">
        <f t="shared" si="32"/>
        <v>1</v>
      </c>
      <c r="S15" s="132">
        <f t="shared" si="32"/>
        <v>4</v>
      </c>
      <c r="T15" s="132">
        <f t="shared" si="32"/>
        <v>0</v>
      </c>
      <c r="U15" s="132">
        <f t="shared" si="32"/>
        <v>0</v>
      </c>
      <c r="V15" s="132">
        <f t="shared" si="32"/>
        <v>1</v>
      </c>
      <c r="W15" s="132">
        <f t="shared" si="32"/>
        <v>0</v>
      </c>
      <c r="X15" s="128">
        <f t="shared" si="33"/>
        <v>0</v>
      </c>
      <c r="Y15" s="133">
        <f t="shared" si="34"/>
        <v>0</v>
      </c>
      <c r="Z15" s="133">
        <f t="shared" si="34"/>
        <v>0</v>
      </c>
      <c r="AA15" s="134">
        <f t="shared" si="34"/>
        <v>0</v>
      </c>
      <c r="AB15" s="130">
        <f t="shared" si="35"/>
        <v>7</v>
      </c>
      <c r="AC15" s="145">
        <f t="shared" si="36"/>
        <v>1</v>
      </c>
      <c r="AD15" s="131">
        <f t="shared" si="37"/>
        <v>2</v>
      </c>
      <c r="AE15" s="132">
        <f t="shared" si="38"/>
        <v>0</v>
      </c>
      <c r="AF15" s="135">
        <f t="shared" si="38"/>
        <v>0</v>
      </c>
      <c r="AG15" s="135">
        <f t="shared" si="38"/>
        <v>0</v>
      </c>
      <c r="AH15" s="135">
        <f t="shared" si="38"/>
        <v>0</v>
      </c>
      <c r="AI15" s="135">
        <f t="shared" si="38"/>
        <v>2</v>
      </c>
      <c r="AJ15" s="135">
        <f t="shared" si="38"/>
        <v>0</v>
      </c>
      <c r="AK15" s="135">
        <f t="shared" si="39"/>
        <v>4</v>
      </c>
      <c r="AL15" s="135">
        <f t="shared" si="40"/>
        <v>1</v>
      </c>
      <c r="AM15" s="133">
        <f t="shared" si="40"/>
        <v>1</v>
      </c>
      <c r="AN15" s="134">
        <f t="shared" si="40"/>
        <v>2</v>
      </c>
      <c r="AO15" s="130">
        <f t="shared" si="41"/>
        <v>0</v>
      </c>
      <c r="AP15" s="136">
        <f t="shared" si="42"/>
        <v>0</v>
      </c>
      <c r="AQ15" s="131">
        <f t="shared" si="43"/>
        <v>0</v>
      </c>
      <c r="AR15" s="146">
        <f t="shared" si="44"/>
        <v>0</v>
      </c>
      <c r="AS15" s="147">
        <f t="shared" si="44"/>
        <v>0</v>
      </c>
      <c r="AT15" s="147">
        <f t="shared" si="44"/>
        <v>0</v>
      </c>
      <c r="AU15" s="147">
        <f t="shared" si="44"/>
        <v>0</v>
      </c>
      <c r="AV15" s="147">
        <f t="shared" si="44"/>
        <v>0</v>
      </c>
      <c r="AW15" s="147">
        <f t="shared" si="44"/>
        <v>0</v>
      </c>
      <c r="AX15" s="135">
        <f t="shared" si="45"/>
        <v>0</v>
      </c>
      <c r="AY15" s="135">
        <f t="shared" si="46"/>
        <v>0</v>
      </c>
      <c r="AZ15" s="133">
        <f t="shared" si="46"/>
        <v>0</v>
      </c>
      <c r="BA15" s="134">
        <f t="shared" si="46"/>
        <v>0</v>
      </c>
      <c r="BB15" s="148">
        <f t="shared" si="47"/>
        <v>0</v>
      </c>
      <c r="BC15" s="149">
        <f t="shared" si="48"/>
        <v>0</v>
      </c>
      <c r="BD15" s="145">
        <f t="shared" si="49"/>
        <v>0</v>
      </c>
      <c r="BE15" s="146">
        <f t="shared" si="50"/>
        <v>0</v>
      </c>
      <c r="BF15" s="147">
        <f t="shared" si="50"/>
        <v>0</v>
      </c>
      <c r="BG15" s="147">
        <f t="shared" si="50"/>
        <v>0</v>
      </c>
      <c r="BH15" s="147">
        <f t="shared" si="50"/>
        <v>0</v>
      </c>
      <c r="BI15" s="147">
        <f t="shared" si="50"/>
        <v>0</v>
      </c>
      <c r="BJ15" s="147">
        <f t="shared" si="50"/>
        <v>0</v>
      </c>
      <c r="BK15" s="150">
        <f t="shared" si="50"/>
        <v>0</v>
      </c>
      <c r="BL15" s="148">
        <f t="shared" si="51"/>
        <v>0</v>
      </c>
      <c r="BM15" s="149">
        <f t="shared" si="52"/>
        <v>0</v>
      </c>
      <c r="BN15" s="145">
        <f t="shared" si="53"/>
        <v>0</v>
      </c>
      <c r="BO15" s="146">
        <f t="shared" si="54"/>
        <v>0</v>
      </c>
      <c r="BP15" s="147">
        <f t="shared" si="54"/>
        <v>0</v>
      </c>
      <c r="BQ15" s="147">
        <f t="shared" si="54"/>
        <v>0</v>
      </c>
      <c r="BR15" s="147">
        <f t="shared" si="54"/>
        <v>0</v>
      </c>
      <c r="BS15" s="147">
        <f t="shared" si="54"/>
        <v>0</v>
      </c>
      <c r="BT15" s="147">
        <f t="shared" si="54"/>
        <v>0</v>
      </c>
      <c r="BU15" s="150">
        <f t="shared" si="54"/>
        <v>0</v>
      </c>
      <c r="BV15" s="7"/>
      <c r="BW15" s="122">
        <f t="shared" si="4"/>
        <v>14</v>
      </c>
      <c r="BX15" s="191">
        <f t="shared" si="5"/>
        <v>2</v>
      </c>
      <c r="BY15" s="191">
        <f t="shared" si="6"/>
        <v>8</v>
      </c>
      <c r="BZ15" s="191">
        <f t="shared" si="7"/>
        <v>1</v>
      </c>
      <c r="CA15" s="191">
        <f t="shared" si="8"/>
        <v>4</v>
      </c>
      <c r="CB15" s="191">
        <f t="shared" si="9"/>
        <v>0</v>
      </c>
      <c r="CC15" s="191">
        <f t="shared" si="10"/>
        <v>0</v>
      </c>
      <c r="CD15" s="191">
        <f t="shared" si="11"/>
        <v>3</v>
      </c>
      <c r="CE15" s="191">
        <f t="shared" si="12"/>
        <v>0</v>
      </c>
      <c r="CF15" s="191">
        <f t="shared" si="13"/>
        <v>4</v>
      </c>
      <c r="CG15" s="191">
        <f t="shared" si="14"/>
        <v>1</v>
      </c>
      <c r="CH15" s="191">
        <f t="shared" si="15"/>
        <v>1</v>
      </c>
      <c r="CI15" s="123">
        <f t="shared" si="16"/>
        <v>2</v>
      </c>
    </row>
    <row r="16" spans="1:87" s="4" customFormat="1" ht="39" customHeight="1">
      <c r="A16" s="42" t="s">
        <v>629</v>
      </c>
      <c r="B16" s="124">
        <f t="shared" si="0"/>
        <v>68</v>
      </c>
      <c r="C16" s="125">
        <f t="shared" si="17"/>
        <v>7</v>
      </c>
      <c r="D16" s="126">
        <f t="shared" si="18"/>
        <v>35</v>
      </c>
      <c r="E16" s="127">
        <f t="shared" si="19"/>
        <v>1</v>
      </c>
      <c r="F16" s="127">
        <f t="shared" si="20"/>
        <v>24</v>
      </c>
      <c r="G16" s="127">
        <f t="shared" si="21"/>
        <v>2</v>
      </c>
      <c r="H16" s="127">
        <f t="shared" si="22"/>
        <v>1</v>
      </c>
      <c r="I16" s="127">
        <f t="shared" si="23"/>
        <v>2</v>
      </c>
      <c r="J16" s="127">
        <f t="shared" si="24"/>
        <v>5</v>
      </c>
      <c r="K16" s="128">
        <f t="shared" si="25"/>
        <v>26</v>
      </c>
      <c r="L16" s="128">
        <f t="shared" si="26"/>
        <v>18</v>
      </c>
      <c r="M16" s="128">
        <f t="shared" si="27"/>
        <v>7</v>
      </c>
      <c r="N16" s="129">
        <f t="shared" si="28"/>
        <v>1</v>
      </c>
      <c r="O16" s="130">
        <f t="shared" si="29"/>
        <v>35</v>
      </c>
      <c r="P16" s="131">
        <f t="shared" si="30"/>
        <v>3</v>
      </c>
      <c r="Q16" s="131">
        <f t="shared" si="31"/>
        <v>20</v>
      </c>
      <c r="R16" s="132">
        <f t="shared" si="32"/>
        <v>1</v>
      </c>
      <c r="S16" s="132">
        <f t="shared" si="32"/>
        <v>14</v>
      </c>
      <c r="T16" s="132">
        <f t="shared" si="32"/>
        <v>2</v>
      </c>
      <c r="U16" s="132">
        <f t="shared" si="32"/>
        <v>0</v>
      </c>
      <c r="V16" s="132">
        <f t="shared" si="32"/>
        <v>0</v>
      </c>
      <c r="W16" s="132">
        <f t="shared" si="32"/>
        <v>3</v>
      </c>
      <c r="X16" s="128">
        <f t="shared" si="33"/>
        <v>12</v>
      </c>
      <c r="Y16" s="133">
        <f t="shared" si="34"/>
        <v>5</v>
      </c>
      <c r="Z16" s="133">
        <f t="shared" si="34"/>
        <v>7</v>
      </c>
      <c r="AA16" s="134">
        <f t="shared" si="34"/>
        <v>0</v>
      </c>
      <c r="AB16" s="130">
        <f t="shared" si="35"/>
        <v>32</v>
      </c>
      <c r="AC16" s="145">
        <f t="shared" si="36"/>
        <v>4</v>
      </c>
      <c r="AD16" s="131">
        <f t="shared" si="37"/>
        <v>15</v>
      </c>
      <c r="AE16" s="132">
        <f t="shared" si="38"/>
        <v>0</v>
      </c>
      <c r="AF16" s="135">
        <f t="shared" si="38"/>
        <v>10</v>
      </c>
      <c r="AG16" s="135">
        <f t="shared" si="38"/>
        <v>0</v>
      </c>
      <c r="AH16" s="135">
        <f t="shared" si="38"/>
        <v>1</v>
      </c>
      <c r="AI16" s="135">
        <f t="shared" si="38"/>
        <v>2</v>
      </c>
      <c r="AJ16" s="135">
        <f t="shared" si="38"/>
        <v>2</v>
      </c>
      <c r="AK16" s="135">
        <f t="shared" si="39"/>
        <v>13</v>
      </c>
      <c r="AL16" s="135">
        <f t="shared" si="40"/>
        <v>12</v>
      </c>
      <c r="AM16" s="133">
        <f t="shared" si="40"/>
        <v>0</v>
      </c>
      <c r="AN16" s="134">
        <f t="shared" si="40"/>
        <v>1</v>
      </c>
      <c r="AO16" s="130">
        <f t="shared" si="41"/>
        <v>1</v>
      </c>
      <c r="AP16" s="136">
        <f t="shared" si="42"/>
        <v>0</v>
      </c>
      <c r="AQ16" s="131">
        <f t="shared" si="43"/>
        <v>0</v>
      </c>
      <c r="AR16" s="146">
        <f t="shared" si="44"/>
        <v>0</v>
      </c>
      <c r="AS16" s="147">
        <f t="shared" si="44"/>
        <v>0</v>
      </c>
      <c r="AT16" s="147">
        <f t="shared" si="44"/>
        <v>0</v>
      </c>
      <c r="AU16" s="147">
        <f t="shared" si="44"/>
        <v>0</v>
      </c>
      <c r="AV16" s="147">
        <f t="shared" si="44"/>
        <v>0</v>
      </c>
      <c r="AW16" s="147">
        <f t="shared" si="44"/>
        <v>0</v>
      </c>
      <c r="AX16" s="135">
        <f t="shared" si="45"/>
        <v>1</v>
      </c>
      <c r="AY16" s="135">
        <f t="shared" si="46"/>
        <v>1</v>
      </c>
      <c r="AZ16" s="133">
        <f t="shared" si="46"/>
        <v>0</v>
      </c>
      <c r="BA16" s="134">
        <f t="shared" si="46"/>
        <v>0</v>
      </c>
      <c r="BB16" s="148">
        <f t="shared" si="47"/>
        <v>0</v>
      </c>
      <c r="BC16" s="149">
        <f t="shared" si="48"/>
        <v>0</v>
      </c>
      <c r="BD16" s="145">
        <f t="shared" si="49"/>
        <v>0</v>
      </c>
      <c r="BE16" s="146">
        <f t="shared" si="50"/>
        <v>0</v>
      </c>
      <c r="BF16" s="147">
        <f t="shared" si="50"/>
        <v>0</v>
      </c>
      <c r="BG16" s="147">
        <f t="shared" si="50"/>
        <v>0</v>
      </c>
      <c r="BH16" s="147">
        <f t="shared" si="50"/>
        <v>0</v>
      </c>
      <c r="BI16" s="147">
        <f t="shared" si="50"/>
        <v>0</v>
      </c>
      <c r="BJ16" s="147">
        <f t="shared" si="50"/>
        <v>0</v>
      </c>
      <c r="BK16" s="150">
        <f t="shared" si="50"/>
        <v>0</v>
      </c>
      <c r="BL16" s="148">
        <f t="shared" si="51"/>
        <v>0</v>
      </c>
      <c r="BM16" s="149">
        <f t="shared" si="52"/>
        <v>0</v>
      </c>
      <c r="BN16" s="145">
        <f t="shared" si="53"/>
        <v>0</v>
      </c>
      <c r="BO16" s="146">
        <f t="shared" si="54"/>
        <v>0</v>
      </c>
      <c r="BP16" s="147">
        <f t="shared" si="54"/>
        <v>0</v>
      </c>
      <c r="BQ16" s="147">
        <f t="shared" si="54"/>
        <v>0</v>
      </c>
      <c r="BR16" s="147">
        <f t="shared" si="54"/>
        <v>0</v>
      </c>
      <c r="BS16" s="147">
        <f t="shared" si="54"/>
        <v>0</v>
      </c>
      <c r="BT16" s="147">
        <f t="shared" si="54"/>
        <v>0</v>
      </c>
      <c r="BU16" s="150">
        <f t="shared" si="54"/>
        <v>0</v>
      </c>
      <c r="BV16" s="7"/>
      <c r="BW16" s="122">
        <f t="shared" si="4"/>
        <v>67</v>
      </c>
      <c r="BX16" s="191">
        <f t="shared" si="5"/>
        <v>7</v>
      </c>
      <c r="BY16" s="191">
        <f t="shared" si="6"/>
        <v>35</v>
      </c>
      <c r="BZ16" s="191">
        <f t="shared" si="7"/>
        <v>1</v>
      </c>
      <c r="CA16" s="191">
        <f t="shared" si="8"/>
        <v>24</v>
      </c>
      <c r="CB16" s="191">
        <f t="shared" si="9"/>
        <v>2</v>
      </c>
      <c r="CC16" s="191">
        <f t="shared" si="10"/>
        <v>1</v>
      </c>
      <c r="CD16" s="191">
        <f t="shared" si="11"/>
        <v>2</v>
      </c>
      <c r="CE16" s="191">
        <f t="shared" si="12"/>
        <v>5</v>
      </c>
      <c r="CF16" s="191">
        <f t="shared" si="13"/>
        <v>25</v>
      </c>
      <c r="CG16" s="191">
        <f t="shared" si="14"/>
        <v>17</v>
      </c>
      <c r="CH16" s="191">
        <f t="shared" si="15"/>
        <v>7</v>
      </c>
      <c r="CI16" s="123">
        <f t="shared" si="16"/>
        <v>1</v>
      </c>
    </row>
    <row r="17" spans="1:87" s="4" customFormat="1" ht="39" customHeight="1">
      <c r="A17" s="43" t="s">
        <v>853</v>
      </c>
      <c r="B17" s="124">
        <f t="shared" si="0"/>
        <v>34</v>
      </c>
      <c r="C17" s="125">
        <f t="shared" si="17"/>
        <v>21</v>
      </c>
      <c r="D17" s="126">
        <f t="shared" si="18"/>
        <v>5</v>
      </c>
      <c r="E17" s="127">
        <f t="shared" si="19"/>
        <v>0</v>
      </c>
      <c r="F17" s="127">
        <f t="shared" si="20"/>
        <v>1</v>
      </c>
      <c r="G17" s="127">
        <f t="shared" si="21"/>
        <v>1</v>
      </c>
      <c r="H17" s="127">
        <f t="shared" si="22"/>
        <v>0</v>
      </c>
      <c r="I17" s="127">
        <f t="shared" si="23"/>
        <v>2</v>
      </c>
      <c r="J17" s="127">
        <f t="shared" si="24"/>
        <v>1</v>
      </c>
      <c r="K17" s="128">
        <f t="shared" si="25"/>
        <v>8</v>
      </c>
      <c r="L17" s="128">
        <f t="shared" si="26"/>
        <v>8</v>
      </c>
      <c r="M17" s="128">
        <f t="shared" si="27"/>
        <v>0</v>
      </c>
      <c r="N17" s="129">
        <f t="shared" si="28"/>
        <v>0</v>
      </c>
      <c r="O17" s="130">
        <f t="shared" si="29"/>
        <v>3</v>
      </c>
      <c r="P17" s="131">
        <f t="shared" si="30"/>
        <v>1</v>
      </c>
      <c r="Q17" s="131">
        <f t="shared" si="31"/>
        <v>2</v>
      </c>
      <c r="R17" s="132">
        <f t="shared" si="32"/>
        <v>0</v>
      </c>
      <c r="S17" s="132">
        <f t="shared" si="32"/>
        <v>0</v>
      </c>
      <c r="T17" s="132">
        <f t="shared" si="32"/>
        <v>1</v>
      </c>
      <c r="U17" s="132">
        <f t="shared" si="32"/>
        <v>0</v>
      </c>
      <c r="V17" s="132">
        <f t="shared" si="32"/>
        <v>1</v>
      </c>
      <c r="W17" s="132">
        <f t="shared" si="32"/>
        <v>0</v>
      </c>
      <c r="X17" s="128">
        <f t="shared" si="33"/>
        <v>0</v>
      </c>
      <c r="Y17" s="133">
        <f t="shared" si="34"/>
        <v>0</v>
      </c>
      <c r="Z17" s="133">
        <f t="shared" si="34"/>
        <v>0</v>
      </c>
      <c r="AA17" s="134">
        <f t="shared" si="34"/>
        <v>0</v>
      </c>
      <c r="AB17" s="130">
        <f t="shared" si="35"/>
        <v>21</v>
      </c>
      <c r="AC17" s="145">
        <f t="shared" si="36"/>
        <v>13</v>
      </c>
      <c r="AD17" s="131">
        <f t="shared" si="37"/>
        <v>3</v>
      </c>
      <c r="AE17" s="132">
        <f t="shared" si="38"/>
        <v>0</v>
      </c>
      <c r="AF17" s="135">
        <f t="shared" si="38"/>
        <v>1</v>
      </c>
      <c r="AG17" s="135">
        <f t="shared" si="38"/>
        <v>0</v>
      </c>
      <c r="AH17" s="135">
        <f t="shared" si="38"/>
        <v>0</v>
      </c>
      <c r="AI17" s="135">
        <f t="shared" si="38"/>
        <v>1</v>
      </c>
      <c r="AJ17" s="135">
        <f t="shared" si="38"/>
        <v>1</v>
      </c>
      <c r="AK17" s="135">
        <f t="shared" si="39"/>
        <v>5</v>
      </c>
      <c r="AL17" s="135">
        <f t="shared" si="40"/>
        <v>5</v>
      </c>
      <c r="AM17" s="133">
        <f t="shared" si="40"/>
        <v>0</v>
      </c>
      <c r="AN17" s="134">
        <f t="shared" si="40"/>
        <v>0</v>
      </c>
      <c r="AO17" s="130">
        <f t="shared" si="41"/>
        <v>10</v>
      </c>
      <c r="AP17" s="136">
        <f t="shared" si="42"/>
        <v>7</v>
      </c>
      <c r="AQ17" s="131">
        <f t="shared" si="43"/>
        <v>0</v>
      </c>
      <c r="AR17" s="146">
        <f t="shared" si="44"/>
        <v>0</v>
      </c>
      <c r="AS17" s="147">
        <f t="shared" si="44"/>
        <v>0</v>
      </c>
      <c r="AT17" s="147">
        <f t="shared" si="44"/>
        <v>0</v>
      </c>
      <c r="AU17" s="147">
        <f t="shared" si="44"/>
        <v>0</v>
      </c>
      <c r="AV17" s="147">
        <f t="shared" si="44"/>
        <v>0</v>
      </c>
      <c r="AW17" s="147">
        <f t="shared" si="44"/>
        <v>0</v>
      </c>
      <c r="AX17" s="135">
        <f t="shared" si="45"/>
        <v>3</v>
      </c>
      <c r="AY17" s="135">
        <f t="shared" si="46"/>
        <v>3</v>
      </c>
      <c r="AZ17" s="133">
        <f t="shared" si="46"/>
        <v>0</v>
      </c>
      <c r="BA17" s="134">
        <f t="shared" si="46"/>
        <v>0</v>
      </c>
      <c r="BB17" s="148">
        <f t="shared" si="47"/>
        <v>0</v>
      </c>
      <c r="BC17" s="149">
        <f t="shared" si="48"/>
        <v>0</v>
      </c>
      <c r="BD17" s="145">
        <f t="shared" si="49"/>
        <v>0</v>
      </c>
      <c r="BE17" s="146">
        <f t="shared" si="50"/>
        <v>0</v>
      </c>
      <c r="BF17" s="147">
        <f t="shared" si="50"/>
        <v>0</v>
      </c>
      <c r="BG17" s="147">
        <f t="shared" si="50"/>
        <v>0</v>
      </c>
      <c r="BH17" s="147">
        <f t="shared" si="50"/>
        <v>0</v>
      </c>
      <c r="BI17" s="147">
        <f t="shared" si="50"/>
        <v>0</v>
      </c>
      <c r="BJ17" s="147">
        <f t="shared" si="50"/>
        <v>0</v>
      </c>
      <c r="BK17" s="150">
        <f t="shared" si="50"/>
        <v>0</v>
      </c>
      <c r="BL17" s="148">
        <f t="shared" si="51"/>
        <v>0</v>
      </c>
      <c r="BM17" s="149">
        <f t="shared" si="52"/>
        <v>0</v>
      </c>
      <c r="BN17" s="145">
        <f t="shared" si="53"/>
        <v>0</v>
      </c>
      <c r="BO17" s="146">
        <f t="shared" si="54"/>
        <v>0</v>
      </c>
      <c r="BP17" s="147">
        <f t="shared" si="54"/>
        <v>0</v>
      </c>
      <c r="BQ17" s="147">
        <f t="shared" si="54"/>
        <v>0</v>
      </c>
      <c r="BR17" s="147">
        <f t="shared" si="54"/>
        <v>0</v>
      </c>
      <c r="BS17" s="147">
        <f t="shared" si="54"/>
        <v>0</v>
      </c>
      <c r="BT17" s="147">
        <f t="shared" si="54"/>
        <v>0</v>
      </c>
      <c r="BU17" s="150">
        <f t="shared" si="54"/>
        <v>0</v>
      </c>
      <c r="BV17" s="7"/>
      <c r="BW17" s="122">
        <f t="shared" si="4"/>
        <v>24</v>
      </c>
      <c r="BX17" s="191">
        <f t="shared" si="5"/>
        <v>14</v>
      </c>
      <c r="BY17" s="191">
        <f t="shared" si="6"/>
        <v>5</v>
      </c>
      <c r="BZ17" s="191">
        <f t="shared" si="7"/>
        <v>0</v>
      </c>
      <c r="CA17" s="191">
        <f t="shared" si="8"/>
        <v>1</v>
      </c>
      <c r="CB17" s="191">
        <f t="shared" si="9"/>
        <v>1</v>
      </c>
      <c r="CC17" s="191">
        <f t="shared" si="10"/>
        <v>0</v>
      </c>
      <c r="CD17" s="191">
        <f t="shared" si="11"/>
        <v>2</v>
      </c>
      <c r="CE17" s="191">
        <f t="shared" si="12"/>
        <v>1</v>
      </c>
      <c r="CF17" s="191">
        <f t="shared" si="13"/>
        <v>5</v>
      </c>
      <c r="CG17" s="191">
        <f t="shared" si="14"/>
        <v>5</v>
      </c>
      <c r="CH17" s="191">
        <f t="shared" si="15"/>
        <v>0</v>
      </c>
      <c r="CI17" s="123">
        <f t="shared" si="16"/>
        <v>0</v>
      </c>
    </row>
    <row r="18" spans="1:87" s="4" customFormat="1" ht="39" customHeight="1">
      <c r="A18" s="44" t="s">
        <v>937</v>
      </c>
      <c r="B18" s="124">
        <f t="shared" si="0"/>
        <v>12</v>
      </c>
      <c r="C18" s="125">
        <f t="shared" si="17"/>
        <v>2</v>
      </c>
      <c r="D18" s="126">
        <f t="shared" si="18"/>
        <v>7</v>
      </c>
      <c r="E18" s="127">
        <f t="shared" si="19"/>
        <v>2</v>
      </c>
      <c r="F18" s="127">
        <f t="shared" si="20"/>
        <v>2</v>
      </c>
      <c r="G18" s="127">
        <f t="shared" si="21"/>
        <v>1</v>
      </c>
      <c r="H18" s="127">
        <f t="shared" si="22"/>
        <v>2</v>
      </c>
      <c r="I18" s="127">
        <f t="shared" si="23"/>
        <v>0</v>
      </c>
      <c r="J18" s="127">
        <f t="shared" si="24"/>
        <v>0</v>
      </c>
      <c r="K18" s="128">
        <f t="shared" si="25"/>
        <v>3</v>
      </c>
      <c r="L18" s="128">
        <f t="shared" si="26"/>
        <v>2</v>
      </c>
      <c r="M18" s="128">
        <f t="shared" si="27"/>
        <v>1</v>
      </c>
      <c r="N18" s="129">
        <f t="shared" si="28"/>
        <v>0</v>
      </c>
      <c r="O18" s="130">
        <f t="shared" si="29"/>
        <v>8</v>
      </c>
      <c r="P18" s="131">
        <f t="shared" si="30"/>
        <v>2</v>
      </c>
      <c r="Q18" s="131">
        <f t="shared" si="31"/>
        <v>5</v>
      </c>
      <c r="R18" s="132">
        <f t="shared" ref="R18:W32" si="55">COUNTIFS(시군,$A18,사업단계,R$6,사업유형,$O$4)</f>
        <v>2</v>
      </c>
      <c r="S18" s="132">
        <f t="shared" si="55"/>
        <v>1</v>
      </c>
      <c r="T18" s="132">
        <f t="shared" si="55"/>
        <v>1</v>
      </c>
      <c r="U18" s="132">
        <f t="shared" si="55"/>
        <v>1</v>
      </c>
      <c r="V18" s="132">
        <f t="shared" si="55"/>
        <v>0</v>
      </c>
      <c r="W18" s="132">
        <f t="shared" si="55"/>
        <v>0</v>
      </c>
      <c r="X18" s="128">
        <f t="shared" si="33"/>
        <v>1</v>
      </c>
      <c r="Y18" s="133">
        <f t="shared" si="34"/>
        <v>0</v>
      </c>
      <c r="Z18" s="133">
        <f t="shared" si="34"/>
        <v>1</v>
      </c>
      <c r="AA18" s="134">
        <f t="shared" si="34"/>
        <v>0</v>
      </c>
      <c r="AB18" s="130">
        <f t="shared" si="35"/>
        <v>3</v>
      </c>
      <c r="AC18" s="145">
        <f t="shared" si="36"/>
        <v>0</v>
      </c>
      <c r="AD18" s="131">
        <f t="shared" si="37"/>
        <v>2</v>
      </c>
      <c r="AE18" s="132">
        <f t="shared" ref="AE18:AJ32" si="56">COUNTIFS(시군,$A18,사업단계,AE$6,사업유형,$AB$4)</f>
        <v>0</v>
      </c>
      <c r="AF18" s="135">
        <f t="shared" si="56"/>
        <v>1</v>
      </c>
      <c r="AG18" s="135">
        <f t="shared" si="56"/>
        <v>0</v>
      </c>
      <c r="AH18" s="135">
        <f t="shared" si="56"/>
        <v>1</v>
      </c>
      <c r="AI18" s="135">
        <f t="shared" si="56"/>
        <v>0</v>
      </c>
      <c r="AJ18" s="135">
        <f t="shared" si="56"/>
        <v>0</v>
      </c>
      <c r="AK18" s="135">
        <f t="shared" si="39"/>
        <v>1</v>
      </c>
      <c r="AL18" s="135">
        <f t="shared" si="40"/>
        <v>1</v>
      </c>
      <c r="AM18" s="133">
        <f t="shared" si="40"/>
        <v>0</v>
      </c>
      <c r="AN18" s="134">
        <f t="shared" si="40"/>
        <v>0</v>
      </c>
      <c r="AO18" s="130">
        <f t="shared" si="41"/>
        <v>1</v>
      </c>
      <c r="AP18" s="136">
        <f t="shared" si="42"/>
        <v>0</v>
      </c>
      <c r="AQ18" s="131">
        <f t="shared" si="43"/>
        <v>0</v>
      </c>
      <c r="AR18" s="146">
        <f t="shared" ref="AR18:AW32" si="57">COUNTIFS(시군,$A18,사업단계,AR$6,사업유형,$AO$4)</f>
        <v>0</v>
      </c>
      <c r="AS18" s="147">
        <f t="shared" si="57"/>
        <v>0</v>
      </c>
      <c r="AT18" s="147">
        <f t="shared" si="57"/>
        <v>0</v>
      </c>
      <c r="AU18" s="147">
        <f t="shared" si="57"/>
        <v>0</v>
      </c>
      <c r="AV18" s="147">
        <f t="shared" si="57"/>
        <v>0</v>
      </c>
      <c r="AW18" s="147">
        <f t="shared" si="57"/>
        <v>0</v>
      </c>
      <c r="AX18" s="135">
        <f t="shared" si="45"/>
        <v>1</v>
      </c>
      <c r="AY18" s="135">
        <f t="shared" si="46"/>
        <v>1</v>
      </c>
      <c r="AZ18" s="133">
        <f t="shared" si="46"/>
        <v>0</v>
      </c>
      <c r="BA18" s="134">
        <f t="shared" si="46"/>
        <v>0</v>
      </c>
      <c r="BB18" s="148">
        <f t="shared" si="47"/>
        <v>0</v>
      </c>
      <c r="BC18" s="149">
        <f t="shared" si="48"/>
        <v>0</v>
      </c>
      <c r="BD18" s="145">
        <f t="shared" si="49"/>
        <v>0</v>
      </c>
      <c r="BE18" s="146">
        <f t="shared" si="50"/>
        <v>0</v>
      </c>
      <c r="BF18" s="147">
        <f t="shared" si="50"/>
        <v>0</v>
      </c>
      <c r="BG18" s="147">
        <f t="shared" si="50"/>
        <v>0</v>
      </c>
      <c r="BH18" s="147">
        <f t="shared" si="50"/>
        <v>0</v>
      </c>
      <c r="BI18" s="147">
        <f t="shared" si="50"/>
        <v>0</v>
      </c>
      <c r="BJ18" s="147">
        <f t="shared" si="50"/>
        <v>0</v>
      </c>
      <c r="BK18" s="150">
        <f t="shared" si="50"/>
        <v>0</v>
      </c>
      <c r="BL18" s="148">
        <f t="shared" si="51"/>
        <v>0</v>
      </c>
      <c r="BM18" s="149">
        <f t="shared" si="52"/>
        <v>0</v>
      </c>
      <c r="BN18" s="145">
        <f t="shared" si="53"/>
        <v>0</v>
      </c>
      <c r="BO18" s="146">
        <f t="shared" si="54"/>
        <v>0</v>
      </c>
      <c r="BP18" s="147">
        <f t="shared" si="54"/>
        <v>0</v>
      </c>
      <c r="BQ18" s="147">
        <f t="shared" si="54"/>
        <v>0</v>
      </c>
      <c r="BR18" s="147">
        <f t="shared" si="54"/>
        <v>0</v>
      </c>
      <c r="BS18" s="147">
        <f t="shared" si="54"/>
        <v>0</v>
      </c>
      <c r="BT18" s="147">
        <f t="shared" si="54"/>
        <v>0</v>
      </c>
      <c r="BU18" s="150">
        <f t="shared" si="54"/>
        <v>0</v>
      </c>
      <c r="BV18" s="7"/>
      <c r="BW18" s="122">
        <f t="shared" si="4"/>
        <v>11</v>
      </c>
      <c r="BX18" s="191">
        <f t="shared" si="5"/>
        <v>2</v>
      </c>
      <c r="BY18" s="191">
        <f t="shared" si="6"/>
        <v>7</v>
      </c>
      <c r="BZ18" s="191">
        <f t="shared" si="7"/>
        <v>2</v>
      </c>
      <c r="CA18" s="191">
        <f t="shared" si="8"/>
        <v>2</v>
      </c>
      <c r="CB18" s="191">
        <f t="shared" si="9"/>
        <v>1</v>
      </c>
      <c r="CC18" s="191">
        <f t="shared" si="10"/>
        <v>2</v>
      </c>
      <c r="CD18" s="191">
        <f t="shared" si="11"/>
        <v>0</v>
      </c>
      <c r="CE18" s="191">
        <f t="shared" si="12"/>
        <v>0</v>
      </c>
      <c r="CF18" s="191">
        <f t="shared" si="13"/>
        <v>2</v>
      </c>
      <c r="CG18" s="191">
        <f t="shared" si="14"/>
        <v>1</v>
      </c>
      <c r="CH18" s="191">
        <f t="shared" si="15"/>
        <v>1</v>
      </c>
      <c r="CI18" s="123">
        <f t="shared" si="16"/>
        <v>0</v>
      </c>
    </row>
    <row r="19" spans="1:87" s="4" customFormat="1" ht="39" customHeight="1">
      <c r="A19" s="44" t="s">
        <v>1331</v>
      </c>
      <c r="B19" s="124">
        <f t="shared" si="0"/>
        <v>7</v>
      </c>
      <c r="C19" s="125">
        <f t="shared" si="17"/>
        <v>0</v>
      </c>
      <c r="D19" s="126">
        <f t="shared" si="18"/>
        <v>6</v>
      </c>
      <c r="E19" s="127">
        <f t="shared" si="19"/>
        <v>0</v>
      </c>
      <c r="F19" s="127">
        <f t="shared" si="20"/>
        <v>0</v>
      </c>
      <c r="G19" s="127">
        <f t="shared" si="21"/>
        <v>0</v>
      </c>
      <c r="H19" s="127">
        <f t="shared" si="22"/>
        <v>0</v>
      </c>
      <c r="I19" s="127">
        <f t="shared" si="23"/>
        <v>3</v>
      </c>
      <c r="J19" s="127">
        <f t="shared" si="24"/>
        <v>3</v>
      </c>
      <c r="K19" s="128">
        <f t="shared" si="25"/>
        <v>1</v>
      </c>
      <c r="L19" s="128">
        <f t="shared" si="26"/>
        <v>1</v>
      </c>
      <c r="M19" s="128">
        <f t="shared" si="27"/>
        <v>0</v>
      </c>
      <c r="N19" s="129">
        <f t="shared" si="28"/>
        <v>0</v>
      </c>
      <c r="O19" s="130">
        <f t="shared" si="29"/>
        <v>5</v>
      </c>
      <c r="P19" s="131">
        <f t="shared" si="30"/>
        <v>0</v>
      </c>
      <c r="Q19" s="131">
        <f t="shared" si="31"/>
        <v>5</v>
      </c>
      <c r="R19" s="132">
        <f t="shared" si="55"/>
        <v>0</v>
      </c>
      <c r="S19" s="132">
        <f t="shared" si="55"/>
        <v>0</v>
      </c>
      <c r="T19" s="132">
        <f t="shared" si="55"/>
        <v>0</v>
      </c>
      <c r="U19" s="132">
        <f t="shared" si="55"/>
        <v>0</v>
      </c>
      <c r="V19" s="132">
        <f t="shared" si="55"/>
        <v>3</v>
      </c>
      <c r="W19" s="132">
        <f t="shared" si="55"/>
        <v>2</v>
      </c>
      <c r="X19" s="128">
        <f t="shared" si="33"/>
        <v>0</v>
      </c>
      <c r="Y19" s="133">
        <f t="shared" si="34"/>
        <v>0</v>
      </c>
      <c r="Z19" s="133">
        <f t="shared" si="34"/>
        <v>0</v>
      </c>
      <c r="AA19" s="134">
        <f t="shared" si="34"/>
        <v>0</v>
      </c>
      <c r="AB19" s="130">
        <f t="shared" si="35"/>
        <v>2</v>
      </c>
      <c r="AC19" s="145">
        <f t="shared" si="36"/>
        <v>0</v>
      </c>
      <c r="AD19" s="131">
        <f t="shared" si="37"/>
        <v>1</v>
      </c>
      <c r="AE19" s="132">
        <f t="shared" si="56"/>
        <v>0</v>
      </c>
      <c r="AF19" s="135">
        <f t="shared" si="56"/>
        <v>0</v>
      </c>
      <c r="AG19" s="135">
        <f t="shared" si="56"/>
        <v>0</v>
      </c>
      <c r="AH19" s="135">
        <f t="shared" si="56"/>
        <v>0</v>
      </c>
      <c r="AI19" s="135">
        <f t="shared" si="56"/>
        <v>0</v>
      </c>
      <c r="AJ19" s="135">
        <f t="shared" si="56"/>
        <v>1</v>
      </c>
      <c r="AK19" s="135">
        <f t="shared" si="39"/>
        <v>1</v>
      </c>
      <c r="AL19" s="135">
        <f t="shared" si="40"/>
        <v>1</v>
      </c>
      <c r="AM19" s="133">
        <f t="shared" si="40"/>
        <v>0</v>
      </c>
      <c r="AN19" s="134">
        <f t="shared" si="40"/>
        <v>0</v>
      </c>
      <c r="AO19" s="130">
        <f t="shared" si="41"/>
        <v>0</v>
      </c>
      <c r="AP19" s="136">
        <f t="shared" si="42"/>
        <v>0</v>
      </c>
      <c r="AQ19" s="131">
        <f t="shared" si="43"/>
        <v>0</v>
      </c>
      <c r="AR19" s="146">
        <f t="shared" si="57"/>
        <v>0</v>
      </c>
      <c r="AS19" s="147">
        <f t="shared" si="57"/>
        <v>0</v>
      </c>
      <c r="AT19" s="147">
        <f t="shared" si="57"/>
        <v>0</v>
      </c>
      <c r="AU19" s="147">
        <f t="shared" si="57"/>
        <v>0</v>
      </c>
      <c r="AV19" s="147">
        <f t="shared" si="57"/>
        <v>0</v>
      </c>
      <c r="AW19" s="147">
        <f t="shared" si="57"/>
        <v>0</v>
      </c>
      <c r="AX19" s="135">
        <f t="shared" si="45"/>
        <v>0</v>
      </c>
      <c r="AY19" s="135">
        <f t="shared" si="46"/>
        <v>0</v>
      </c>
      <c r="AZ19" s="133">
        <f t="shared" si="46"/>
        <v>0</v>
      </c>
      <c r="BA19" s="134">
        <f t="shared" si="46"/>
        <v>0</v>
      </c>
      <c r="BB19" s="148">
        <f t="shared" si="47"/>
        <v>0</v>
      </c>
      <c r="BC19" s="149">
        <f t="shared" si="48"/>
        <v>0</v>
      </c>
      <c r="BD19" s="145">
        <f t="shared" si="49"/>
        <v>0</v>
      </c>
      <c r="BE19" s="146">
        <f t="shared" si="50"/>
        <v>0</v>
      </c>
      <c r="BF19" s="147">
        <f t="shared" si="50"/>
        <v>0</v>
      </c>
      <c r="BG19" s="147">
        <f t="shared" si="50"/>
        <v>0</v>
      </c>
      <c r="BH19" s="147">
        <f t="shared" si="50"/>
        <v>0</v>
      </c>
      <c r="BI19" s="147">
        <f t="shared" si="50"/>
        <v>0</v>
      </c>
      <c r="BJ19" s="147">
        <f t="shared" si="50"/>
        <v>0</v>
      </c>
      <c r="BK19" s="150">
        <f t="shared" si="50"/>
        <v>0</v>
      </c>
      <c r="BL19" s="148">
        <f t="shared" si="51"/>
        <v>0</v>
      </c>
      <c r="BM19" s="149">
        <f t="shared" si="52"/>
        <v>0</v>
      </c>
      <c r="BN19" s="145">
        <f t="shared" si="53"/>
        <v>0</v>
      </c>
      <c r="BO19" s="146">
        <f t="shared" si="54"/>
        <v>0</v>
      </c>
      <c r="BP19" s="147">
        <f t="shared" si="54"/>
        <v>0</v>
      </c>
      <c r="BQ19" s="147">
        <f t="shared" si="54"/>
        <v>0</v>
      </c>
      <c r="BR19" s="147">
        <f t="shared" si="54"/>
        <v>0</v>
      </c>
      <c r="BS19" s="147">
        <f t="shared" si="54"/>
        <v>0</v>
      </c>
      <c r="BT19" s="147">
        <f t="shared" si="54"/>
        <v>0</v>
      </c>
      <c r="BU19" s="150">
        <f t="shared" si="54"/>
        <v>0</v>
      </c>
      <c r="BV19" s="7"/>
      <c r="BW19" s="122">
        <f t="shared" si="4"/>
        <v>7</v>
      </c>
      <c r="BX19" s="191">
        <f t="shared" si="5"/>
        <v>0</v>
      </c>
      <c r="BY19" s="191">
        <f t="shared" si="6"/>
        <v>6</v>
      </c>
      <c r="BZ19" s="191">
        <f t="shared" si="7"/>
        <v>0</v>
      </c>
      <c r="CA19" s="191">
        <f t="shared" si="8"/>
        <v>0</v>
      </c>
      <c r="CB19" s="191">
        <f t="shared" si="9"/>
        <v>0</v>
      </c>
      <c r="CC19" s="191">
        <f t="shared" si="10"/>
        <v>0</v>
      </c>
      <c r="CD19" s="191">
        <f t="shared" si="11"/>
        <v>3</v>
      </c>
      <c r="CE19" s="191">
        <f t="shared" si="12"/>
        <v>3</v>
      </c>
      <c r="CF19" s="191">
        <f t="shared" si="13"/>
        <v>1</v>
      </c>
      <c r="CG19" s="191">
        <f t="shared" si="14"/>
        <v>1</v>
      </c>
      <c r="CH19" s="191">
        <f t="shared" si="15"/>
        <v>0</v>
      </c>
      <c r="CI19" s="123">
        <f t="shared" si="16"/>
        <v>0</v>
      </c>
    </row>
    <row r="20" spans="1:87" s="4" customFormat="1" ht="39" customHeight="1">
      <c r="A20" s="44" t="s">
        <v>1214</v>
      </c>
      <c r="B20" s="124">
        <f t="shared" si="0"/>
        <v>28</v>
      </c>
      <c r="C20" s="125">
        <f t="shared" si="17"/>
        <v>0</v>
      </c>
      <c r="D20" s="126">
        <f t="shared" si="18"/>
        <v>21</v>
      </c>
      <c r="E20" s="127">
        <f t="shared" si="19"/>
        <v>1</v>
      </c>
      <c r="F20" s="127">
        <f t="shared" si="20"/>
        <v>6</v>
      </c>
      <c r="G20" s="127">
        <f t="shared" si="21"/>
        <v>10</v>
      </c>
      <c r="H20" s="127">
        <f t="shared" si="22"/>
        <v>0</v>
      </c>
      <c r="I20" s="127">
        <f t="shared" si="23"/>
        <v>1</v>
      </c>
      <c r="J20" s="127">
        <f t="shared" si="24"/>
        <v>3</v>
      </c>
      <c r="K20" s="128">
        <f t="shared" si="25"/>
        <v>7</v>
      </c>
      <c r="L20" s="128">
        <f t="shared" si="26"/>
        <v>2</v>
      </c>
      <c r="M20" s="128">
        <f t="shared" si="27"/>
        <v>3</v>
      </c>
      <c r="N20" s="129">
        <f t="shared" si="28"/>
        <v>2</v>
      </c>
      <c r="O20" s="130">
        <f t="shared" si="29"/>
        <v>25</v>
      </c>
      <c r="P20" s="131">
        <f t="shared" si="30"/>
        <v>0</v>
      </c>
      <c r="Q20" s="131">
        <f t="shared" si="31"/>
        <v>20</v>
      </c>
      <c r="R20" s="132">
        <f t="shared" si="55"/>
        <v>1</v>
      </c>
      <c r="S20" s="132">
        <f t="shared" si="55"/>
        <v>5</v>
      </c>
      <c r="T20" s="132">
        <f t="shared" si="55"/>
        <v>10</v>
      </c>
      <c r="U20" s="132">
        <f t="shared" si="55"/>
        <v>0</v>
      </c>
      <c r="V20" s="132">
        <f t="shared" si="55"/>
        <v>1</v>
      </c>
      <c r="W20" s="132">
        <f t="shared" si="55"/>
        <v>3</v>
      </c>
      <c r="X20" s="128">
        <f t="shared" si="33"/>
        <v>5</v>
      </c>
      <c r="Y20" s="133">
        <f t="shared" si="34"/>
        <v>1</v>
      </c>
      <c r="Z20" s="133">
        <f t="shared" si="34"/>
        <v>3</v>
      </c>
      <c r="AA20" s="134">
        <f t="shared" si="34"/>
        <v>1</v>
      </c>
      <c r="AB20" s="130">
        <f t="shared" si="35"/>
        <v>2</v>
      </c>
      <c r="AC20" s="145">
        <f t="shared" si="36"/>
        <v>0</v>
      </c>
      <c r="AD20" s="131">
        <f t="shared" si="37"/>
        <v>1</v>
      </c>
      <c r="AE20" s="132">
        <f t="shared" si="56"/>
        <v>0</v>
      </c>
      <c r="AF20" s="135">
        <f t="shared" si="56"/>
        <v>1</v>
      </c>
      <c r="AG20" s="135">
        <f t="shared" si="56"/>
        <v>0</v>
      </c>
      <c r="AH20" s="135">
        <f t="shared" si="56"/>
        <v>0</v>
      </c>
      <c r="AI20" s="135">
        <f t="shared" si="56"/>
        <v>0</v>
      </c>
      <c r="AJ20" s="135">
        <f t="shared" si="56"/>
        <v>0</v>
      </c>
      <c r="AK20" s="135">
        <f t="shared" si="39"/>
        <v>1</v>
      </c>
      <c r="AL20" s="135">
        <f t="shared" si="40"/>
        <v>0</v>
      </c>
      <c r="AM20" s="133">
        <f t="shared" si="40"/>
        <v>0</v>
      </c>
      <c r="AN20" s="134">
        <f t="shared" si="40"/>
        <v>1</v>
      </c>
      <c r="AO20" s="130">
        <f t="shared" si="41"/>
        <v>1</v>
      </c>
      <c r="AP20" s="136">
        <f t="shared" si="42"/>
        <v>0</v>
      </c>
      <c r="AQ20" s="131">
        <f t="shared" si="43"/>
        <v>0</v>
      </c>
      <c r="AR20" s="146">
        <f t="shared" si="57"/>
        <v>0</v>
      </c>
      <c r="AS20" s="147">
        <f t="shared" si="57"/>
        <v>0</v>
      </c>
      <c r="AT20" s="147">
        <f t="shared" si="57"/>
        <v>0</v>
      </c>
      <c r="AU20" s="147">
        <f t="shared" si="57"/>
        <v>0</v>
      </c>
      <c r="AV20" s="147">
        <f t="shared" si="57"/>
        <v>0</v>
      </c>
      <c r="AW20" s="147">
        <f t="shared" si="57"/>
        <v>0</v>
      </c>
      <c r="AX20" s="135">
        <f t="shared" si="45"/>
        <v>1</v>
      </c>
      <c r="AY20" s="135">
        <f t="shared" si="46"/>
        <v>1</v>
      </c>
      <c r="AZ20" s="133">
        <f t="shared" si="46"/>
        <v>0</v>
      </c>
      <c r="BA20" s="134">
        <f t="shared" si="46"/>
        <v>0</v>
      </c>
      <c r="BB20" s="148">
        <f t="shared" si="47"/>
        <v>0</v>
      </c>
      <c r="BC20" s="149">
        <f t="shared" si="48"/>
        <v>0</v>
      </c>
      <c r="BD20" s="145">
        <f t="shared" si="49"/>
        <v>0</v>
      </c>
      <c r="BE20" s="146">
        <f t="shared" si="50"/>
        <v>0</v>
      </c>
      <c r="BF20" s="147">
        <f t="shared" si="50"/>
        <v>0</v>
      </c>
      <c r="BG20" s="147">
        <f t="shared" si="50"/>
        <v>0</v>
      </c>
      <c r="BH20" s="147">
        <f t="shared" si="50"/>
        <v>0</v>
      </c>
      <c r="BI20" s="147">
        <f t="shared" si="50"/>
        <v>0</v>
      </c>
      <c r="BJ20" s="147">
        <f t="shared" si="50"/>
        <v>0</v>
      </c>
      <c r="BK20" s="150">
        <f t="shared" si="50"/>
        <v>0</v>
      </c>
      <c r="BL20" s="148">
        <f t="shared" si="51"/>
        <v>0</v>
      </c>
      <c r="BM20" s="149">
        <f t="shared" si="52"/>
        <v>0</v>
      </c>
      <c r="BN20" s="145">
        <f t="shared" si="53"/>
        <v>0</v>
      </c>
      <c r="BO20" s="146">
        <f t="shared" si="54"/>
        <v>0</v>
      </c>
      <c r="BP20" s="147">
        <f t="shared" si="54"/>
        <v>0</v>
      </c>
      <c r="BQ20" s="147">
        <f t="shared" si="54"/>
        <v>0</v>
      </c>
      <c r="BR20" s="147">
        <f t="shared" si="54"/>
        <v>0</v>
      </c>
      <c r="BS20" s="147">
        <f t="shared" si="54"/>
        <v>0</v>
      </c>
      <c r="BT20" s="147">
        <f t="shared" si="54"/>
        <v>0</v>
      </c>
      <c r="BU20" s="150">
        <f t="shared" si="54"/>
        <v>0</v>
      </c>
      <c r="BV20" s="7"/>
      <c r="BW20" s="122">
        <f t="shared" si="4"/>
        <v>27</v>
      </c>
      <c r="BX20" s="191">
        <f t="shared" si="5"/>
        <v>0</v>
      </c>
      <c r="BY20" s="191">
        <f t="shared" si="6"/>
        <v>21</v>
      </c>
      <c r="BZ20" s="191">
        <f t="shared" si="7"/>
        <v>1</v>
      </c>
      <c r="CA20" s="191">
        <f t="shared" si="8"/>
        <v>6</v>
      </c>
      <c r="CB20" s="191">
        <f t="shared" si="9"/>
        <v>10</v>
      </c>
      <c r="CC20" s="191">
        <f t="shared" si="10"/>
        <v>0</v>
      </c>
      <c r="CD20" s="191">
        <f t="shared" si="11"/>
        <v>1</v>
      </c>
      <c r="CE20" s="191">
        <f t="shared" si="12"/>
        <v>3</v>
      </c>
      <c r="CF20" s="191">
        <f t="shared" si="13"/>
        <v>6</v>
      </c>
      <c r="CG20" s="191">
        <f t="shared" si="14"/>
        <v>1</v>
      </c>
      <c r="CH20" s="191">
        <f t="shared" si="15"/>
        <v>3</v>
      </c>
      <c r="CI20" s="123">
        <f t="shared" si="16"/>
        <v>2</v>
      </c>
    </row>
    <row r="21" spans="1:87" s="4" customFormat="1" ht="39" customHeight="1">
      <c r="A21" s="43" t="s">
        <v>1024</v>
      </c>
      <c r="B21" s="124">
        <f t="shared" si="0"/>
        <v>15</v>
      </c>
      <c r="C21" s="125">
        <f t="shared" si="17"/>
        <v>0</v>
      </c>
      <c r="D21" s="126">
        <f t="shared" si="18"/>
        <v>14</v>
      </c>
      <c r="E21" s="127">
        <f t="shared" si="19"/>
        <v>2</v>
      </c>
      <c r="F21" s="127">
        <f t="shared" si="20"/>
        <v>0</v>
      </c>
      <c r="G21" s="127">
        <f t="shared" si="21"/>
        <v>10</v>
      </c>
      <c r="H21" s="127">
        <f t="shared" si="22"/>
        <v>1</v>
      </c>
      <c r="I21" s="127">
        <f t="shared" si="23"/>
        <v>1</v>
      </c>
      <c r="J21" s="127">
        <f t="shared" si="24"/>
        <v>0</v>
      </c>
      <c r="K21" s="128">
        <f t="shared" si="25"/>
        <v>1</v>
      </c>
      <c r="L21" s="128">
        <f t="shared" si="26"/>
        <v>1</v>
      </c>
      <c r="M21" s="128">
        <f t="shared" si="27"/>
        <v>0</v>
      </c>
      <c r="N21" s="129">
        <f t="shared" si="28"/>
        <v>0</v>
      </c>
      <c r="O21" s="130">
        <f t="shared" si="29"/>
        <v>14</v>
      </c>
      <c r="P21" s="131">
        <f t="shared" si="30"/>
        <v>0</v>
      </c>
      <c r="Q21" s="131">
        <f t="shared" si="31"/>
        <v>14</v>
      </c>
      <c r="R21" s="132">
        <f t="shared" si="55"/>
        <v>2</v>
      </c>
      <c r="S21" s="132">
        <f t="shared" si="55"/>
        <v>0</v>
      </c>
      <c r="T21" s="132">
        <f t="shared" si="55"/>
        <v>10</v>
      </c>
      <c r="U21" s="132">
        <f t="shared" si="55"/>
        <v>1</v>
      </c>
      <c r="V21" s="132">
        <f t="shared" si="55"/>
        <v>1</v>
      </c>
      <c r="W21" s="132">
        <f t="shared" si="55"/>
        <v>0</v>
      </c>
      <c r="X21" s="128">
        <f t="shared" si="33"/>
        <v>0</v>
      </c>
      <c r="Y21" s="133">
        <f t="shared" si="34"/>
        <v>0</v>
      </c>
      <c r="Z21" s="133">
        <f t="shared" si="34"/>
        <v>0</v>
      </c>
      <c r="AA21" s="134">
        <f t="shared" si="34"/>
        <v>0</v>
      </c>
      <c r="AB21" s="130">
        <f t="shared" si="35"/>
        <v>1</v>
      </c>
      <c r="AC21" s="145">
        <f t="shared" si="36"/>
        <v>0</v>
      </c>
      <c r="AD21" s="131">
        <f t="shared" si="37"/>
        <v>0</v>
      </c>
      <c r="AE21" s="132">
        <f t="shared" si="56"/>
        <v>0</v>
      </c>
      <c r="AF21" s="135">
        <f t="shared" si="56"/>
        <v>0</v>
      </c>
      <c r="AG21" s="135">
        <f t="shared" si="56"/>
        <v>0</v>
      </c>
      <c r="AH21" s="135">
        <f t="shared" si="56"/>
        <v>0</v>
      </c>
      <c r="AI21" s="135">
        <f t="shared" si="56"/>
        <v>0</v>
      </c>
      <c r="AJ21" s="135">
        <f t="shared" si="56"/>
        <v>0</v>
      </c>
      <c r="AK21" s="135">
        <f t="shared" si="39"/>
        <v>1</v>
      </c>
      <c r="AL21" s="135">
        <f t="shared" si="40"/>
        <v>1</v>
      </c>
      <c r="AM21" s="133">
        <f t="shared" si="40"/>
        <v>0</v>
      </c>
      <c r="AN21" s="134">
        <f t="shared" si="40"/>
        <v>0</v>
      </c>
      <c r="AO21" s="130">
        <f t="shared" si="41"/>
        <v>0</v>
      </c>
      <c r="AP21" s="136">
        <f t="shared" si="42"/>
        <v>0</v>
      </c>
      <c r="AQ21" s="131">
        <f t="shared" si="43"/>
        <v>0</v>
      </c>
      <c r="AR21" s="146">
        <f t="shared" si="57"/>
        <v>0</v>
      </c>
      <c r="AS21" s="147">
        <f t="shared" si="57"/>
        <v>0</v>
      </c>
      <c r="AT21" s="147">
        <f t="shared" si="57"/>
        <v>0</v>
      </c>
      <c r="AU21" s="147">
        <f t="shared" si="57"/>
        <v>0</v>
      </c>
      <c r="AV21" s="147">
        <f t="shared" si="57"/>
        <v>0</v>
      </c>
      <c r="AW21" s="147">
        <f t="shared" si="57"/>
        <v>0</v>
      </c>
      <c r="AX21" s="135">
        <f t="shared" si="45"/>
        <v>0</v>
      </c>
      <c r="AY21" s="135">
        <f t="shared" si="46"/>
        <v>0</v>
      </c>
      <c r="AZ21" s="133">
        <f t="shared" si="46"/>
        <v>0</v>
      </c>
      <c r="BA21" s="134">
        <f t="shared" si="46"/>
        <v>0</v>
      </c>
      <c r="BB21" s="148">
        <f t="shared" si="47"/>
        <v>0</v>
      </c>
      <c r="BC21" s="149">
        <f t="shared" si="48"/>
        <v>0</v>
      </c>
      <c r="BD21" s="145">
        <f t="shared" si="49"/>
        <v>0</v>
      </c>
      <c r="BE21" s="146">
        <f t="shared" si="50"/>
        <v>0</v>
      </c>
      <c r="BF21" s="147">
        <f t="shared" si="50"/>
        <v>0</v>
      </c>
      <c r="BG21" s="147">
        <f t="shared" si="50"/>
        <v>0</v>
      </c>
      <c r="BH21" s="147">
        <f t="shared" si="50"/>
        <v>0</v>
      </c>
      <c r="BI21" s="147">
        <f t="shared" si="50"/>
        <v>0</v>
      </c>
      <c r="BJ21" s="147">
        <f t="shared" si="50"/>
        <v>0</v>
      </c>
      <c r="BK21" s="150">
        <f t="shared" si="50"/>
        <v>0</v>
      </c>
      <c r="BL21" s="148">
        <f t="shared" si="51"/>
        <v>0</v>
      </c>
      <c r="BM21" s="149">
        <f t="shared" si="52"/>
        <v>0</v>
      </c>
      <c r="BN21" s="145">
        <f t="shared" si="53"/>
        <v>0</v>
      </c>
      <c r="BO21" s="146">
        <f t="shared" si="54"/>
        <v>0</v>
      </c>
      <c r="BP21" s="147">
        <f t="shared" si="54"/>
        <v>0</v>
      </c>
      <c r="BQ21" s="147">
        <f t="shared" si="54"/>
        <v>0</v>
      </c>
      <c r="BR21" s="147">
        <f t="shared" si="54"/>
        <v>0</v>
      </c>
      <c r="BS21" s="147">
        <f t="shared" si="54"/>
        <v>0</v>
      </c>
      <c r="BT21" s="147">
        <f t="shared" si="54"/>
        <v>0</v>
      </c>
      <c r="BU21" s="150">
        <f t="shared" si="54"/>
        <v>0</v>
      </c>
      <c r="BV21" s="7"/>
      <c r="BW21" s="122">
        <f t="shared" si="4"/>
        <v>15</v>
      </c>
      <c r="BX21" s="191">
        <f t="shared" si="5"/>
        <v>0</v>
      </c>
      <c r="BY21" s="191">
        <f t="shared" si="6"/>
        <v>14</v>
      </c>
      <c r="BZ21" s="191">
        <f t="shared" si="7"/>
        <v>2</v>
      </c>
      <c r="CA21" s="191">
        <f t="shared" si="8"/>
        <v>0</v>
      </c>
      <c r="CB21" s="191">
        <f t="shared" si="9"/>
        <v>10</v>
      </c>
      <c r="CC21" s="191">
        <f t="shared" si="10"/>
        <v>1</v>
      </c>
      <c r="CD21" s="191">
        <f t="shared" si="11"/>
        <v>1</v>
      </c>
      <c r="CE21" s="191">
        <f t="shared" si="12"/>
        <v>0</v>
      </c>
      <c r="CF21" s="191">
        <f t="shared" si="13"/>
        <v>1</v>
      </c>
      <c r="CG21" s="191">
        <f t="shared" si="14"/>
        <v>1</v>
      </c>
      <c r="CH21" s="191">
        <f t="shared" si="15"/>
        <v>0</v>
      </c>
      <c r="CI21" s="123">
        <f t="shared" si="16"/>
        <v>0</v>
      </c>
    </row>
    <row r="22" spans="1:87" s="4" customFormat="1" ht="39" customHeight="1">
      <c r="A22" s="43" t="s">
        <v>1360</v>
      </c>
      <c r="B22" s="124">
        <f t="shared" si="0"/>
        <v>0</v>
      </c>
      <c r="C22" s="125">
        <f t="shared" si="17"/>
        <v>0</v>
      </c>
      <c r="D22" s="126">
        <f t="shared" si="18"/>
        <v>0</v>
      </c>
      <c r="E22" s="127">
        <f t="shared" si="19"/>
        <v>0</v>
      </c>
      <c r="F22" s="127">
        <f t="shared" si="20"/>
        <v>0</v>
      </c>
      <c r="G22" s="127">
        <f t="shared" si="21"/>
        <v>0</v>
      </c>
      <c r="H22" s="127">
        <f t="shared" si="22"/>
        <v>0</v>
      </c>
      <c r="I22" s="127">
        <f t="shared" si="23"/>
        <v>0</v>
      </c>
      <c r="J22" s="127">
        <f t="shared" si="24"/>
        <v>0</v>
      </c>
      <c r="K22" s="128">
        <f t="shared" si="25"/>
        <v>0</v>
      </c>
      <c r="L22" s="128">
        <f t="shared" si="26"/>
        <v>0</v>
      </c>
      <c r="M22" s="128">
        <f t="shared" si="27"/>
        <v>0</v>
      </c>
      <c r="N22" s="129">
        <f t="shared" si="28"/>
        <v>0</v>
      </c>
      <c r="O22" s="130">
        <f t="shared" si="29"/>
        <v>0</v>
      </c>
      <c r="P22" s="131">
        <f t="shared" si="30"/>
        <v>0</v>
      </c>
      <c r="Q22" s="131">
        <f t="shared" si="31"/>
        <v>0</v>
      </c>
      <c r="R22" s="132">
        <f t="shared" si="55"/>
        <v>0</v>
      </c>
      <c r="S22" s="132">
        <f t="shared" si="55"/>
        <v>0</v>
      </c>
      <c r="T22" s="132">
        <f t="shared" si="55"/>
        <v>0</v>
      </c>
      <c r="U22" s="132">
        <f t="shared" si="55"/>
        <v>0</v>
      </c>
      <c r="V22" s="132">
        <f t="shared" si="55"/>
        <v>0</v>
      </c>
      <c r="W22" s="132">
        <f t="shared" si="55"/>
        <v>0</v>
      </c>
      <c r="X22" s="128">
        <f t="shared" si="33"/>
        <v>0</v>
      </c>
      <c r="Y22" s="133">
        <f t="shared" si="34"/>
        <v>0</v>
      </c>
      <c r="Z22" s="133">
        <f t="shared" si="34"/>
        <v>0</v>
      </c>
      <c r="AA22" s="134">
        <f t="shared" si="34"/>
        <v>0</v>
      </c>
      <c r="AB22" s="130">
        <f t="shared" si="35"/>
        <v>0</v>
      </c>
      <c r="AC22" s="145">
        <f t="shared" si="36"/>
        <v>0</v>
      </c>
      <c r="AD22" s="131">
        <f t="shared" si="37"/>
        <v>0</v>
      </c>
      <c r="AE22" s="132">
        <f t="shared" si="56"/>
        <v>0</v>
      </c>
      <c r="AF22" s="135">
        <f t="shared" si="56"/>
        <v>0</v>
      </c>
      <c r="AG22" s="135">
        <f t="shared" si="56"/>
        <v>0</v>
      </c>
      <c r="AH22" s="135">
        <f t="shared" si="56"/>
        <v>0</v>
      </c>
      <c r="AI22" s="135">
        <f t="shared" si="56"/>
        <v>0</v>
      </c>
      <c r="AJ22" s="135">
        <f t="shared" si="56"/>
        <v>0</v>
      </c>
      <c r="AK22" s="135">
        <f t="shared" si="39"/>
        <v>0</v>
      </c>
      <c r="AL22" s="135">
        <f t="shared" si="40"/>
        <v>0</v>
      </c>
      <c r="AM22" s="133">
        <f t="shared" si="40"/>
        <v>0</v>
      </c>
      <c r="AN22" s="134">
        <f t="shared" si="40"/>
        <v>0</v>
      </c>
      <c r="AO22" s="130">
        <f t="shared" si="41"/>
        <v>0</v>
      </c>
      <c r="AP22" s="136">
        <f t="shared" si="42"/>
        <v>0</v>
      </c>
      <c r="AQ22" s="131">
        <f t="shared" si="43"/>
        <v>0</v>
      </c>
      <c r="AR22" s="146">
        <f t="shared" si="57"/>
        <v>0</v>
      </c>
      <c r="AS22" s="147">
        <f t="shared" si="57"/>
        <v>0</v>
      </c>
      <c r="AT22" s="147">
        <f t="shared" si="57"/>
        <v>0</v>
      </c>
      <c r="AU22" s="147">
        <f t="shared" si="57"/>
        <v>0</v>
      </c>
      <c r="AV22" s="147">
        <f t="shared" si="57"/>
        <v>0</v>
      </c>
      <c r="AW22" s="147">
        <f t="shared" si="57"/>
        <v>0</v>
      </c>
      <c r="AX22" s="135">
        <f t="shared" si="45"/>
        <v>0</v>
      </c>
      <c r="AY22" s="135">
        <f t="shared" si="46"/>
        <v>0</v>
      </c>
      <c r="AZ22" s="133">
        <f t="shared" si="46"/>
        <v>0</v>
      </c>
      <c r="BA22" s="134">
        <f t="shared" si="46"/>
        <v>0</v>
      </c>
      <c r="BB22" s="148"/>
      <c r="BC22" s="149"/>
      <c r="BD22" s="145"/>
      <c r="BE22" s="146"/>
      <c r="BF22" s="147"/>
      <c r="BG22" s="147"/>
      <c r="BH22" s="147"/>
      <c r="BI22" s="147"/>
      <c r="BJ22" s="147"/>
      <c r="BK22" s="150"/>
      <c r="BL22" s="148"/>
      <c r="BM22" s="149"/>
      <c r="BN22" s="145"/>
      <c r="BO22" s="146"/>
      <c r="BP22" s="147"/>
      <c r="BQ22" s="147"/>
      <c r="BR22" s="147"/>
      <c r="BS22" s="147"/>
      <c r="BT22" s="147"/>
      <c r="BU22" s="150"/>
      <c r="BV22" s="7"/>
      <c r="BW22" s="122">
        <f t="shared" si="4"/>
        <v>0</v>
      </c>
      <c r="BX22" s="191">
        <f t="shared" si="5"/>
        <v>0</v>
      </c>
      <c r="BY22" s="191">
        <f t="shared" si="6"/>
        <v>0</v>
      </c>
      <c r="BZ22" s="191">
        <f t="shared" si="7"/>
        <v>0</v>
      </c>
      <c r="CA22" s="191">
        <f t="shared" si="8"/>
        <v>0</v>
      </c>
      <c r="CB22" s="191">
        <f t="shared" si="9"/>
        <v>0</v>
      </c>
      <c r="CC22" s="191">
        <f t="shared" si="10"/>
        <v>0</v>
      </c>
      <c r="CD22" s="191">
        <f t="shared" si="11"/>
        <v>0</v>
      </c>
      <c r="CE22" s="191">
        <f t="shared" si="12"/>
        <v>0</v>
      </c>
      <c r="CF22" s="191">
        <f t="shared" si="13"/>
        <v>0</v>
      </c>
      <c r="CG22" s="191">
        <f t="shared" si="14"/>
        <v>0</v>
      </c>
      <c r="CH22" s="191">
        <f t="shared" si="15"/>
        <v>0</v>
      </c>
      <c r="CI22" s="123">
        <f t="shared" si="16"/>
        <v>0</v>
      </c>
    </row>
    <row r="23" spans="1:87" s="4" customFormat="1" ht="39" customHeight="1">
      <c r="A23" s="44" t="s">
        <v>1087</v>
      </c>
      <c r="B23" s="124">
        <f t="shared" si="0"/>
        <v>23</v>
      </c>
      <c r="C23" s="125">
        <f t="shared" si="17"/>
        <v>6</v>
      </c>
      <c r="D23" s="126">
        <f t="shared" si="18"/>
        <v>10</v>
      </c>
      <c r="E23" s="127">
        <f t="shared" si="19"/>
        <v>0</v>
      </c>
      <c r="F23" s="127">
        <f t="shared" si="20"/>
        <v>2</v>
      </c>
      <c r="G23" s="127">
        <f t="shared" si="21"/>
        <v>1</v>
      </c>
      <c r="H23" s="127">
        <f t="shared" si="22"/>
        <v>1</v>
      </c>
      <c r="I23" s="127">
        <f t="shared" si="23"/>
        <v>3</v>
      </c>
      <c r="J23" s="127">
        <f t="shared" si="24"/>
        <v>3</v>
      </c>
      <c r="K23" s="128">
        <f t="shared" si="25"/>
        <v>7</v>
      </c>
      <c r="L23" s="128">
        <f t="shared" si="26"/>
        <v>2</v>
      </c>
      <c r="M23" s="128">
        <f t="shared" si="27"/>
        <v>0</v>
      </c>
      <c r="N23" s="129">
        <f t="shared" si="28"/>
        <v>5</v>
      </c>
      <c r="O23" s="130">
        <f t="shared" si="29"/>
        <v>9</v>
      </c>
      <c r="P23" s="131">
        <f t="shared" si="30"/>
        <v>0</v>
      </c>
      <c r="Q23" s="131">
        <f t="shared" si="31"/>
        <v>7</v>
      </c>
      <c r="R23" s="132">
        <f t="shared" si="55"/>
        <v>0</v>
      </c>
      <c r="S23" s="132">
        <f t="shared" si="55"/>
        <v>0</v>
      </c>
      <c r="T23" s="132">
        <f t="shared" si="55"/>
        <v>1</v>
      </c>
      <c r="U23" s="132">
        <f t="shared" si="55"/>
        <v>0</v>
      </c>
      <c r="V23" s="132">
        <f t="shared" si="55"/>
        <v>3</v>
      </c>
      <c r="W23" s="132">
        <f t="shared" si="55"/>
        <v>3</v>
      </c>
      <c r="X23" s="128">
        <f t="shared" si="33"/>
        <v>2</v>
      </c>
      <c r="Y23" s="133">
        <f t="shared" si="34"/>
        <v>1</v>
      </c>
      <c r="Z23" s="133">
        <f t="shared" si="34"/>
        <v>0</v>
      </c>
      <c r="AA23" s="134">
        <f t="shared" si="34"/>
        <v>1</v>
      </c>
      <c r="AB23" s="130">
        <f t="shared" si="35"/>
        <v>14</v>
      </c>
      <c r="AC23" s="145">
        <f t="shared" si="36"/>
        <v>6</v>
      </c>
      <c r="AD23" s="131">
        <f t="shared" si="37"/>
        <v>3</v>
      </c>
      <c r="AE23" s="132">
        <f t="shared" si="56"/>
        <v>0</v>
      </c>
      <c r="AF23" s="135">
        <f t="shared" si="56"/>
        <v>2</v>
      </c>
      <c r="AG23" s="135">
        <f t="shared" si="56"/>
        <v>0</v>
      </c>
      <c r="AH23" s="135">
        <f t="shared" si="56"/>
        <v>1</v>
      </c>
      <c r="AI23" s="135">
        <f t="shared" si="56"/>
        <v>0</v>
      </c>
      <c r="AJ23" s="135">
        <f t="shared" si="56"/>
        <v>0</v>
      </c>
      <c r="AK23" s="135">
        <f t="shared" si="39"/>
        <v>5</v>
      </c>
      <c r="AL23" s="135">
        <f t="shared" si="40"/>
        <v>1</v>
      </c>
      <c r="AM23" s="133">
        <f t="shared" si="40"/>
        <v>0</v>
      </c>
      <c r="AN23" s="134">
        <f t="shared" si="40"/>
        <v>4</v>
      </c>
      <c r="AO23" s="130">
        <f t="shared" si="41"/>
        <v>0</v>
      </c>
      <c r="AP23" s="136">
        <f t="shared" si="42"/>
        <v>0</v>
      </c>
      <c r="AQ23" s="131">
        <f t="shared" si="43"/>
        <v>0</v>
      </c>
      <c r="AR23" s="146">
        <f t="shared" si="57"/>
        <v>0</v>
      </c>
      <c r="AS23" s="147">
        <f t="shared" si="57"/>
        <v>0</v>
      </c>
      <c r="AT23" s="147">
        <f t="shared" si="57"/>
        <v>0</v>
      </c>
      <c r="AU23" s="147">
        <f t="shared" si="57"/>
        <v>0</v>
      </c>
      <c r="AV23" s="147">
        <f t="shared" si="57"/>
        <v>0</v>
      </c>
      <c r="AW23" s="147">
        <f t="shared" si="57"/>
        <v>0</v>
      </c>
      <c r="AX23" s="135">
        <f t="shared" si="45"/>
        <v>0</v>
      </c>
      <c r="AY23" s="135">
        <f t="shared" si="46"/>
        <v>0</v>
      </c>
      <c r="AZ23" s="133">
        <f t="shared" si="46"/>
        <v>0</v>
      </c>
      <c r="BA23" s="134">
        <f t="shared" si="46"/>
        <v>0</v>
      </c>
      <c r="BB23" s="148">
        <f t="shared" ref="BB23:BB32" si="58">BC23+BD23</f>
        <v>0</v>
      </c>
      <c r="BC23" s="149">
        <f t="shared" ref="BC23:BC32" si="59">COUNTIFS(시군,$A23,사업단계,BC$5,사업유형,$BB$4)</f>
        <v>0</v>
      </c>
      <c r="BD23" s="145">
        <f t="shared" ref="BD23:BD32" si="60">SUM(BE23:BK23)</f>
        <v>0</v>
      </c>
      <c r="BE23" s="146">
        <f t="shared" ref="BE23:BK32" si="61">COUNTIFS(시군,$A23,사업단계,BE$6,사업유형,$BB$4)</f>
        <v>0</v>
      </c>
      <c r="BF23" s="147">
        <f t="shared" si="61"/>
        <v>0</v>
      </c>
      <c r="BG23" s="147">
        <f t="shared" si="61"/>
        <v>0</v>
      </c>
      <c r="BH23" s="147">
        <f t="shared" si="61"/>
        <v>0</v>
      </c>
      <c r="BI23" s="147">
        <f t="shared" si="61"/>
        <v>0</v>
      </c>
      <c r="BJ23" s="147">
        <f t="shared" si="61"/>
        <v>0</v>
      </c>
      <c r="BK23" s="150">
        <f t="shared" si="61"/>
        <v>0</v>
      </c>
      <c r="BL23" s="148">
        <f t="shared" ref="BL23:BL32" si="62">BM23+BN23</f>
        <v>0</v>
      </c>
      <c r="BM23" s="149">
        <f t="shared" ref="BM23:BM32" si="63">COUNTIFS(시군,$A23,사업단계,BM$5,사업유형,$BL$4)</f>
        <v>0</v>
      </c>
      <c r="BN23" s="145">
        <f t="shared" ref="BN23:BN32" si="64">SUM(BO23:BU23)</f>
        <v>0</v>
      </c>
      <c r="BO23" s="146">
        <f t="shared" ref="BO23:BU32" si="65">COUNTIFS(시군,$A23,사업단계,BO$6,사업유형,$BL$4)</f>
        <v>0</v>
      </c>
      <c r="BP23" s="147">
        <f t="shared" si="65"/>
        <v>0</v>
      </c>
      <c r="BQ23" s="147">
        <f t="shared" si="65"/>
        <v>0</v>
      </c>
      <c r="BR23" s="147">
        <f t="shared" si="65"/>
        <v>0</v>
      </c>
      <c r="BS23" s="147">
        <f t="shared" si="65"/>
        <v>0</v>
      </c>
      <c r="BT23" s="147">
        <f t="shared" si="65"/>
        <v>0</v>
      </c>
      <c r="BU23" s="150">
        <f t="shared" si="65"/>
        <v>0</v>
      </c>
      <c r="BV23" s="7"/>
      <c r="BW23" s="122">
        <f t="shared" si="4"/>
        <v>23</v>
      </c>
      <c r="BX23" s="191">
        <f t="shared" si="5"/>
        <v>6</v>
      </c>
      <c r="BY23" s="191">
        <f t="shared" si="6"/>
        <v>10</v>
      </c>
      <c r="BZ23" s="191">
        <f t="shared" si="7"/>
        <v>0</v>
      </c>
      <c r="CA23" s="191">
        <f t="shared" si="8"/>
        <v>2</v>
      </c>
      <c r="CB23" s="191">
        <f t="shared" si="9"/>
        <v>1</v>
      </c>
      <c r="CC23" s="191">
        <f t="shared" si="10"/>
        <v>1</v>
      </c>
      <c r="CD23" s="191">
        <f t="shared" si="11"/>
        <v>3</v>
      </c>
      <c r="CE23" s="191">
        <f t="shared" si="12"/>
        <v>3</v>
      </c>
      <c r="CF23" s="191">
        <f t="shared" si="13"/>
        <v>7</v>
      </c>
      <c r="CG23" s="191">
        <f t="shared" si="14"/>
        <v>2</v>
      </c>
      <c r="CH23" s="191">
        <f t="shared" si="15"/>
        <v>0</v>
      </c>
      <c r="CI23" s="123">
        <f t="shared" si="16"/>
        <v>5</v>
      </c>
    </row>
    <row r="24" spans="1:87" s="4" customFormat="1" ht="39" customHeight="1" thickBot="1">
      <c r="A24" s="44" t="s">
        <v>1153</v>
      </c>
      <c r="B24" s="124">
        <f t="shared" si="0"/>
        <v>11</v>
      </c>
      <c r="C24" s="125">
        <f t="shared" si="17"/>
        <v>0</v>
      </c>
      <c r="D24" s="126">
        <f t="shared" si="18"/>
        <v>5</v>
      </c>
      <c r="E24" s="151">
        <f t="shared" si="19"/>
        <v>0</v>
      </c>
      <c r="F24" s="151">
        <f t="shared" si="20"/>
        <v>0</v>
      </c>
      <c r="G24" s="151">
        <f t="shared" si="21"/>
        <v>1</v>
      </c>
      <c r="H24" s="151">
        <f t="shared" si="22"/>
        <v>0</v>
      </c>
      <c r="I24" s="151">
        <f t="shared" si="23"/>
        <v>2</v>
      </c>
      <c r="J24" s="151">
        <f t="shared" si="24"/>
        <v>2</v>
      </c>
      <c r="K24" s="152">
        <f t="shared" si="25"/>
        <v>6</v>
      </c>
      <c r="L24" s="152">
        <f t="shared" si="26"/>
        <v>0</v>
      </c>
      <c r="M24" s="152">
        <f t="shared" si="27"/>
        <v>3</v>
      </c>
      <c r="N24" s="153">
        <f t="shared" si="28"/>
        <v>3</v>
      </c>
      <c r="O24" s="154">
        <f t="shared" si="29"/>
        <v>1</v>
      </c>
      <c r="P24" s="145">
        <f t="shared" si="30"/>
        <v>0</v>
      </c>
      <c r="Q24" s="145">
        <f t="shared" si="31"/>
        <v>1</v>
      </c>
      <c r="R24" s="146">
        <f t="shared" si="55"/>
        <v>0</v>
      </c>
      <c r="S24" s="146">
        <f t="shared" si="55"/>
        <v>0</v>
      </c>
      <c r="T24" s="146">
        <f t="shared" si="55"/>
        <v>0</v>
      </c>
      <c r="U24" s="146">
        <f t="shared" si="55"/>
        <v>0</v>
      </c>
      <c r="V24" s="146">
        <f t="shared" si="55"/>
        <v>0</v>
      </c>
      <c r="W24" s="146">
        <f t="shared" si="55"/>
        <v>1</v>
      </c>
      <c r="X24" s="152">
        <f t="shared" si="33"/>
        <v>0</v>
      </c>
      <c r="Y24" s="155">
        <f t="shared" si="34"/>
        <v>0</v>
      </c>
      <c r="Z24" s="155">
        <f t="shared" si="34"/>
        <v>0</v>
      </c>
      <c r="AA24" s="150">
        <f t="shared" si="34"/>
        <v>0</v>
      </c>
      <c r="AB24" s="154">
        <f t="shared" si="35"/>
        <v>10</v>
      </c>
      <c r="AC24" s="145">
        <f t="shared" si="36"/>
        <v>0</v>
      </c>
      <c r="AD24" s="145">
        <f t="shared" si="37"/>
        <v>4</v>
      </c>
      <c r="AE24" s="146">
        <f t="shared" si="56"/>
        <v>0</v>
      </c>
      <c r="AF24" s="147">
        <f t="shared" si="56"/>
        <v>0</v>
      </c>
      <c r="AG24" s="147">
        <f t="shared" si="56"/>
        <v>1</v>
      </c>
      <c r="AH24" s="147">
        <f t="shared" si="56"/>
        <v>0</v>
      </c>
      <c r="AI24" s="147">
        <f t="shared" si="56"/>
        <v>2</v>
      </c>
      <c r="AJ24" s="147">
        <f t="shared" si="56"/>
        <v>1</v>
      </c>
      <c r="AK24" s="147">
        <f t="shared" si="39"/>
        <v>6</v>
      </c>
      <c r="AL24" s="147">
        <f t="shared" si="40"/>
        <v>0</v>
      </c>
      <c r="AM24" s="155">
        <f t="shared" si="40"/>
        <v>3</v>
      </c>
      <c r="AN24" s="150">
        <f t="shared" si="40"/>
        <v>3</v>
      </c>
      <c r="AO24" s="154">
        <f t="shared" si="41"/>
        <v>0</v>
      </c>
      <c r="AP24" s="149">
        <f t="shared" si="42"/>
        <v>0</v>
      </c>
      <c r="AQ24" s="145">
        <f t="shared" si="43"/>
        <v>0</v>
      </c>
      <c r="AR24" s="146">
        <f t="shared" si="57"/>
        <v>0</v>
      </c>
      <c r="AS24" s="147">
        <f t="shared" si="57"/>
        <v>0</v>
      </c>
      <c r="AT24" s="147">
        <f t="shared" si="57"/>
        <v>0</v>
      </c>
      <c r="AU24" s="147">
        <f t="shared" si="57"/>
        <v>0</v>
      </c>
      <c r="AV24" s="147">
        <f t="shared" si="57"/>
        <v>0</v>
      </c>
      <c r="AW24" s="147">
        <f t="shared" si="57"/>
        <v>0</v>
      </c>
      <c r="AX24" s="147">
        <f t="shared" si="45"/>
        <v>0</v>
      </c>
      <c r="AY24" s="147">
        <f t="shared" si="46"/>
        <v>0</v>
      </c>
      <c r="AZ24" s="133">
        <f t="shared" si="46"/>
        <v>0</v>
      </c>
      <c r="BA24" s="134">
        <f t="shared" si="46"/>
        <v>0</v>
      </c>
      <c r="BB24" s="156">
        <f t="shared" si="58"/>
        <v>0</v>
      </c>
      <c r="BC24" s="157">
        <f t="shared" si="59"/>
        <v>0</v>
      </c>
      <c r="BD24" s="158">
        <f t="shared" si="60"/>
        <v>0</v>
      </c>
      <c r="BE24" s="159">
        <f t="shared" si="61"/>
        <v>0</v>
      </c>
      <c r="BF24" s="160">
        <f t="shared" si="61"/>
        <v>0</v>
      </c>
      <c r="BG24" s="160">
        <f t="shared" si="61"/>
        <v>0</v>
      </c>
      <c r="BH24" s="160">
        <f t="shared" si="61"/>
        <v>0</v>
      </c>
      <c r="BI24" s="160">
        <f t="shared" si="61"/>
        <v>0</v>
      </c>
      <c r="BJ24" s="160">
        <f t="shared" si="61"/>
        <v>0</v>
      </c>
      <c r="BK24" s="161">
        <f t="shared" si="61"/>
        <v>0</v>
      </c>
      <c r="BL24" s="156">
        <f t="shared" si="62"/>
        <v>0</v>
      </c>
      <c r="BM24" s="157">
        <f t="shared" si="63"/>
        <v>0</v>
      </c>
      <c r="BN24" s="158">
        <f t="shared" si="64"/>
        <v>0</v>
      </c>
      <c r="BO24" s="159">
        <f t="shared" si="65"/>
        <v>0</v>
      </c>
      <c r="BP24" s="160">
        <f t="shared" si="65"/>
        <v>0</v>
      </c>
      <c r="BQ24" s="160">
        <f t="shared" si="65"/>
        <v>0</v>
      </c>
      <c r="BR24" s="160">
        <f t="shared" si="65"/>
        <v>0</v>
      </c>
      <c r="BS24" s="160">
        <f t="shared" si="65"/>
        <v>0</v>
      </c>
      <c r="BT24" s="160">
        <f t="shared" si="65"/>
        <v>0</v>
      </c>
      <c r="BU24" s="161">
        <f t="shared" si="65"/>
        <v>0</v>
      </c>
      <c r="BV24" s="7"/>
      <c r="BW24" s="122">
        <f t="shared" si="4"/>
        <v>11</v>
      </c>
      <c r="BX24" s="191">
        <f t="shared" si="5"/>
        <v>0</v>
      </c>
      <c r="BY24" s="191">
        <f t="shared" si="6"/>
        <v>5</v>
      </c>
      <c r="BZ24" s="191">
        <f t="shared" si="7"/>
        <v>0</v>
      </c>
      <c r="CA24" s="191">
        <f t="shared" si="8"/>
        <v>0</v>
      </c>
      <c r="CB24" s="191">
        <f t="shared" si="9"/>
        <v>1</v>
      </c>
      <c r="CC24" s="191">
        <f t="shared" si="10"/>
        <v>0</v>
      </c>
      <c r="CD24" s="191">
        <f t="shared" si="11"/>
        <v>2</v>
      </c>
      <c r="CE24" s="191">
        <f t="shared" si="12"/>
        <v>2</v>
      </c>
      <c r="CF24" s="191">
        <f t="shared" si="13"/>
        <v>6</v>
      </c>
      <c r="CG24" s="191">
        <f t="shared" si="14"/>
        <v>0</v>
      </c>
      <c r="CH24" s="191">
        <f t="shared" si="15"/>
        <v>3</v>
      </c>
      <c r="CI24" s="123">
        <f t="shared" si="16"/>
        <v>3</v>
      </c>
    </row>
    <row r="25" spans="1:87" s="4" customFormat="1" ht="39" customHeight="1">
      <c r="A25" s="43" t="s">
        <v>969</v>
      </c>
      <c r="B25" s="124">
        <f t="shared" si="0"/>
        <v>2</v>
      </c>
      <c r="C25" s="125">
        <f t="shared" si="17"/>
        <v>0</v>
      </c>
      <c r="D25" s="126">
        <f t="shared" si="18"/>
        <v>0</v>
      </c>
      <c r="E25" s="127">
        <f t="shared" si="19"/>
        <v>0</v>
      </c>
      <c r="F25" s="127">
        <f t="shared" si="20"/>
        <v>0</v>
      </c>
      <c r="G25" s="127">
        <f t="shared" si="21"/>
        <v>0</v>
      </c>
      <c r="H25" s="127">
        <f t="shared" si="22"/>
        <v>0</v>
      </c>
      <c r="I25" s="127">
        <f t="shared" si="23"/>
        <v>0</v>
      </c>
      <c r="J25" s="127">
        <f t="shared" si="24"/>
        <v>0</v>
      </c>
      <c r="K25" s="128">
        <f t="shared" si="25"/>
        <v>2</v>
      </c>
      <c r="L25" s="128">
        <f t="shared" si="26"/>
        <v>2</v>
      </c>
      <c r="M25" s="128">
        <f t="shared" si="27"/>
        <v>0</v>
      </c>
      <c r="N25" s="129">
        <f t="shared" si="28"/>
        <v>0</v>
      </c>
      <c r="O25" s="130">
        <f t="shared" si="29"/>
        <v>0</v>
      </c>
      <c r="P25" s="131">
        <f t="shared" si="30"/>
        <v>0</v>
      </c>
      <c r="Q25" s="131">
        <f t="shared" si="31"/>
        <v>0</v>
      </c>
      <c r="R25" s="132">
        <f t="shared" si="55"/>
        <v>0</v>
      </c>
      <c r="S25" s="132">
        <f t="shared" si="55"/>
        <v>0</v>
      </c>
      <c r="T25" s="132">
        <f t="shared" si="55"/>
        <v>0</v>
      </c>
      <c r="U25" s="132">
        <f t="shared" si="55"/>
        <v>0</v>
      </c>
      <c r="V25" s="132">
        <f t="shared" si="55"/>
        <v>0</v>
      </c>
      <c r="W25" s="132">
        <f t="shared" si="55"/>
        <v>0</v>
      </c>
      <c r="X25" s="128">
        <f t="shared" si="33"/>
        <v>0</v>
      </c>
      <c r="Y25" s="133">
        <f t="shared" si="34"/>
        <v>0</v>
      </c>
      <c r="Z25" s="133">
        <f t="shared" si="34"/>
        <v>0</v>
      </c>
      <c r="AA25" s="134">
        <f t="shared" si="34"/>
        <v>0</v>
      </c>
      <c r="AB25" s="130">
        <f t="shared" si="35"/>
        <v>0</v>
      </c>
      <c r="AC25" s="131">
        <f t="shared" si="36"/>
        <v>0</v>
      </c>
      <c r="AD25" s="131">
        <f t="shared" si="37"/>
        <v>0</v>
      </c>
      <c r="AE25" s="132">
        <f t="shared" si="56"/>
        <v>0</v>
      </c>
      <c r="AF25" s="135">
        <f t="shared" si="56"/>
        <v>0</v>
      </c>
      <c r="AG25" s="135">
        <f t="shared" si="56"/>
        <v>0</v>
      </c>
      <c r="AH25" s="135">
        <f t="shared" si="56"/>
        <v>0</v>
      </c>
      <c r="AI25" s="135">
        <f t="shared" si="56"/>
        <v>0</v>
      </c>
      <c r="AJ25" s="135">
        <f t="shared" si="56"/>
        <v>0</v>
      </c>
      <c r="AK25" s="135">
        <f t="shared" si="39"/>
        <v>0</v>
      </c>
      <c r="AL25" s="135">
        <f t="shared" si="40"/>
        <v>0</v>
      </c>
      <c r="AM25" s="133">
        <f t="shared" si="40"/>
        <v>0</v>
      </c>
      <c r="AN25" s="134">
        <f t="shared" si="40"/>
        <v>0</v>
      </c>
      <c r="AO25" s="130">
        <f t="shared" si="41"/>
        <v>2</v>
      </c>
      <c r="AP25" s="136">
        <f t="shared" si="42"/>
        <v>0</v>
      </c>
      <c r="AQ25" s="131">
        <f t="shared" si="43"/>
        <v>0</v>
      </c>
      <c r="AR25" s="132">
        <f t="shared" si="57"/>
        <v>0</v>
      </c>
      <c r="AS25" s="135">
        <f t="shared" si="57"/>
        <v>0</v>
      </c>
      <c r="AT25" s="135">
        <f t="shared" si="57"/>
        <v>0</v>
      </c>
      <c r="AU25" s="135">
        <f t="shared" si="57"/>
        <v>0</v>
      </c>
      <c r="AV25" s="135">
        <f t="shared" si="57"/>
        <v>0</v>
      </c>
      <c r="AW25" s="135">
        <f t="shared" si="57"/>
        <v>0</v>
      </c>
      <c r="AX25" s="135">
        <f t="shared" si="45"/>
        <v>2</v>
      </c>
      <c r="AY25" s="135">
        <f t="shared" si="46"/>
        <v>2</v>
      </c>
      <c r="AZ25" s="133">
        <f t="shared" si="46"/>
        <v>0</v>
      </c>
      <c r="BA25" s="134">
        <f t="shared" si="46"/>
        <v>0</v>
      </c>
      <c r="BB25" s="148">
        <f t="shared" si="58"/>
        <v>0</v>
      </c>
      <c r="BC25" s="149">
        <f t="shared" si="59"/>
        <v>0</v>
      </c>
      <c r="BD25" s="145">
        <f t="shared" si="60"/>
        <v>0</v>
      </c>
      <c r="BE25" s="146">
        <f t="shared" si="61"/>
        <v>0</v>
      </c>
      <c r="BF25" s="147">
        <f t="shared" si="61"/>
        <v>0</v>
      </c>
      <c r="BG25" s="147">
        <f t="shared" si="61"/>
        <v>0</v>
      </c>
      <c r="BH25" s="147">
        <f t="shared" si="61"/>
        <v>0</v>
      </c>
      <c r="BI25" s="147">
        <f t="shared" si="61"/>
        <v>0</v>
      </c>
      <c r="BJ25" s="147">
        <f t="shared" si="61"/>
        <v>0</v>
      </c>
      <c r="BK25" s="150">
        <f t="shared" si="61"/>
        <v>0</v>
      </c>
      <c r="BL25" s="148">
        <f t="shared" si="62"/>
        <v>0</v>
      </c>
      <c r="BM25" s="149">
        <f t="shared" si="63"/>
        <v>0</v>
      </c>
      <c r="BN25" s="145">
        <f t="shared" si="64"/>
        <v>0</v>
      </c>
      <c r="BO25" s="146">
        <f t="shared" si="65"/>
        <v>0</v>
      </c>
      <c r="BP25" s="147">
        <f t="shared" si="65"/>
        <v>0</v>
      </c>
      <c r="BQ25" s="147">
        <f t="shared" si="65"/>
        <v>0</v>
      </c>
      <c r="BR25" s="147">
        <f t="shared" si="65"/>
        <v>0</v>
      </c>
      <c r="BS25" s="147">
        <f t="shared" si="65"/>
        <v>0</v>
      </c>
      <c r="BT25" s="147">
        <f t="shared" si="65"/>
        <v>0</v>
      </c>
      <c r="BU25" s="150">
        <f t="shared" si="65"/>
        <v>0</v>
      </c>
      <c r="BV25" s="7"/>
      <c r="BW25" s="122">
        <f t="shared" si="4"/>
        <v>0</v>
      </c>
      <c r="BX25" s="191">
        <f t="shared" si="5"/>
        <v>0</v>
      </c>
      <c r="BY25" s="191">
        <f t="shared" si="6"/>
        <v>0</v>
      </c>
      <c r="BZ25" s="191">
        <f t="shared" si="7"/>
        <v>0</v>
      </c>
      <c r="CA25" s="191">
        <f t="shared" si="8"/>
        <v>0</v>
      </c>
      <c r="CB25" s="191">
        <f t="shared" si="9"/>
        <v>0</v>
      </c>
      <c r="CC25" s="191">
        <f t="shared" si="10"/>
        <v>0</v>
      </c>
      <c r="CD25" s="191">
        <f t="shared" si="11"/>
        <v>0</v>
      </c>
      <c r="CE25" s="191">
        <f t="shared" si="12"/>
        <v>0</v>
      </c>
      <c r="CF25" s="191">
        <f t="shared" si="13"/>
        <v>0</v>
      </c>
      <c r="CG25" s="191">
        <f t="shared" si="14"/>
        <v>0</v>
      </c>
      <c r="CH25" s="191">
        <f t="shared" si="15"/>
        <v>0</v>
      </c>
      <c r="CI25" s="123">
        <f t="shared" si="16"/>
        <v>0</v>
      </c>
    </row>
    <row r="26" spans="1:87" s="4" customFormat="1" ht="39" customHeight="1">
      <c r="A26" s="43" t="s">
        <v>974</v>
      </c>
      <c r="B26" s="124">
        <f t="shared" si="0"/>
        <v>24</v>
      </c>
      <c r="C26" s="125">
        <f t="shared" si="17"/>
        <v>0</v>
      </c>
      <c r="D26" s="126">
        <f t="shared" si="18"/>
        <v>10</v>
      </c>
      <c r="E26" s="127">
        <f t="shared" si="19"/>
        <v>0</v>
      </c>
      <c r="F26" s="127">
        <f t="shared" si="20"/>
        <v>3</v>
      </c>
      <c r="G26" s="127">
        <f t="shared" si="21"/>
        <v>7</v>
      </c>
      <c r="H26" s="127">
        <f t="shared" si="22"/>
        <v>0</v>
      </c>
      <c r="I26" s="127">
        <f t="shared" si="23"/>
        <v>0</v>
      </c>
      <c r="J26" s="127">
        <f t="shared" si="24"/>
        <v>0</v>
      </c>
      <c r="K26" s="128">
        <f t="shared" si="25"/>
        <v>14</v>
      </c>
      <c r="L26" s="128">
        <f t="shared" si="26"/>
        <v>12</v>
      </c>
      <c r="M26" s="128">
        <f t="shared" si="27"/>
        <v>2</v>
      </c>
      <c r="N26" s="129">
        <f t="shared" si="28"/>
        <v>0</v>
      </c>
      <c r="O26" s="130">
        <f t="shared" si="29"/>
        <v>1</v>
      </c>
      <c r="P26" s="131">
        <f t="shared" si="30"/>
        <v>0</v>
      </c>
      <c r="Q26" s="131">
        <f t="shared" si="31"/>
        <v>0</v>
      </c>
      <c r="R26" s="132">
        <f t="shared" si="55"/>
        <v>0</v>
      </c>
      <c r="S26" s="132">
        <f t="shared" si="55"/>
        <v>0</v>
      </c>
      <c r="T26" s="132">
        <f t="shared" si="55"/>
        <v>0</v>
      </c>
      <c r="U26" s="132">
        <f t="shared" si="55"/>
        <v>0</v>
      </c>
      <c r="V26" s="132">
        <f t="shared" si="55"/>
        <v>0</v>
      </c>
      <c r="W26" s="132">
        <f t="shared" si="55"/>
        <v>0</v>
      </c>
      <c r="X26" s="128">
        <f t="shared" si="33"/>
        <v>1</v>
      </c>
      <c r="Y26" s="133">
        <f t="shared" si="34"/>
        <v>1</v>
      </c>
      <c r="Z26" s="133">
        <f t="shared" si="34"/>
        <v>0</v>
      </c>
      <c r="AA26" s="134">
        <f t="shared" si="34"/>
        <v>0</v>
      </c>
      <c r="AB26" s="130">
        <f t="shared" si="35"/>
        <v>20</v>
      </c>
      <c r="AC26" s="145">
        <f t="shared" si="36"/>
        <v>0</v>
      </c>
      <c r="AD26" s="131">
        <f t="shared" si="37"/>
        <v>10</v>
      </c>
      <c r="AE26" s="132">
        <f t="shared" si="56"/>
        <v>0</v>
      </c>
      <c r="AF26" s="135">
        <f t="shared" si="56"/>
        <v>3</v>
      </c>
      <c r="AG26" s="135">
        <f t="shared" si="56"/>
        <v>7</v>
      </c>
      <c r="AH26" s="135">
        <f t="shared" si="56"/>
        <v>0</v>
      </c>
      <c r="AI26" s="135">
        <f t="shared" si="56"/>
        <v>0</v>
      </c>
      <c r="AJ26" s="135">
        <f t="shared" si="56"/>
        <v>0</v>
      </c>
      <c r="AK26" s="135">
        <f t="shared" si="39"/>
        <v>10</v>
      </c>
      <c r="AL26" s="135">
        <f t="shared" si="40"/>
        <v>8</v>
      </c>
      <c r="AM26" s="133">
        <f t="shared" si="40"/>
        <v>2</v>
      </c>
      <c r="AN26" s="134">
        <f t="shared" si="40"/>
        <v>0</v>
      </c>
      <c r="AO26" s="130">
        <f t="shared" si="41"/>
        <v>3</v>
      </c>
      <c r="AP26" s="136">
        <f t="shared" si="42"/>
        <v>0</v>
      </c>
      <c r="AQ26" s="131">
        <f t="shared" si="43"/>
        <v>0</v>
      </c>
      <c r="AR26" s="146">
        <f t="shared" si="57"/>
        <v>0</v>
      </c>
      <c r="AS26" s="147">
        <f t="shared" si="57"/>
        <v>0</v>
      </c>
      <c r="AT26" s="147">
        <f t="shared" si="57"/>
        <v>0</v>
      </c>
      <c r="AU26" s="147">
        <f t="shared" si="57"/>
        <v>0</v>
      </c>
      <c r="AV26" s="147">
        <f t="shared" si="57"/>
        <v>0</v>
      </c>
      <c r="AW26" s="147">
        <f t="shared" si="57"/>
        <v>0</v>
      </c>
      <c r="AX26" s="135">
        <f t="shared" si="45"/>
        <v>3</v>
      </c>
      <c r="AY26" s="135">
        <f t="shared" si="46"/>
        <v>3</v>
      </c>
      <c r="AZ26" s="133">
        <f t="shared" si="46"/>
        <v>0</v>
      </c>
      <c r="BA26" s="134">
        <f t="shared" si="46"/>
        <v>0</v>
      </c>
      <c r="BB26" s="148">
        <f t="shared" si="58"/>
        <v>0</v>
      </c>
      <c r="BC26" s="149">
        <f t="shared" si="59"/>
        <v>0</v>
      </c>
      <c r="BD26" s="145">
        <f t="shared" si="60"/>
        <v>0</v>
      </c>
      <c r="BE26" s="146">
        <f t="shared" si="61"/>
        <v>0</v>
      </c>
      <c r="BF26" s="147">
        <f t="shared" si="61"/>
        <v>0</v>
      </c>
      <c r="BG26" s="147">
        <f t="shared" si="61"/>
        <v>0</v>
      </c>
      <c r="BH26" s="147">
        <f t="shared" si="61"/>
        <v>0</v>
      </c>
      <c r="BI26" s="147">
        <f t="shared" si="61"/>
        <v>0</v>
      </c>
      <c r="BJ26" s="147">
        <f t="shared" si="61"/>
        <v>0</v>
      </c>
      <c r="BK26" s="150">
        <f t="shared" si="61"/>
        <v>0</v>
      </c>
      <c r="BL26" s="148">
        <f t="shared" si="62"/>
        <v>0</v>
      </c>
      <c r="BM26" s="149">
        <f t="shared" si="63"/>
        <v>0</v>
      </c>
      <c r="BN26" s="145">
        <f t="shared" si="64"/>
        <v>0</v>
      </c>
      <c r="BO26" s="146">
        <f t="shared" si="65"/>
        <v>0</v>
      </c>
      <c r="BP26" s="147">
        <f t="shared" si="65"/>
        <v>0</v>
      </c>
      <c r="BQ26" s="147">
        <f t="shared" si="65"/>
        <v>0</v>
      </c>
      <c r="BR26" s="147">
        <f t="shared" si="65"/>
        <v>0</v>
      </c>
      <c r="BS26" s="147">
        <f t="shared" si="65"/>
        <v>0</v>
      </c>
      <c r="BT26" s="147">
        <f t="shared" si="65"/>
        <v>0</v>
      </c>
      <c r="BU26" s="150">
        <f t="shared" si="65"/>
        <v>0</v>
      </c>
      <c r="BV26" s="7"/>
      <c r="BW26" s="122">
        <f t="shared" si="4"/>
        <v>21</v>
      </c>
      <c r="BX26" s="191">
        <f t="shared" si="5"/>
        <v>0</v>
      </c>
      <c r="BY26" s="191">
        <f t="shared" si="6"/>
        <v>10</v>
      </c>
      <c r="BZ26" s="191">
        <f t="shared" si="7"/>
        <v>0</v>
      </c>
      <c r="CA26" s="191">
        <f t="shared" si="8"/>
        <v>3</v>
      </c>
      <c r="CB26" s="191">
        <f t="shared" si="9"/>
        <v>7</v>
      </c>
      <c r="CC26" s="191">
        <f t="shared" si="10"/>
        <v>0</v>
      </c>
      <c r="CD26" s="191">
        <f t="shared" si="11"/>
        <v>0</v>
      </c>
      <c r="CE26" s="191">
        <f t="shared" si="12"/>
        <v>0</v>
      </c>
      <c r="CF26" s="191">
        <f t="shared" si="13"/>
        <v>11</v>
      </c>
      <c r="CG26" s="191">
        <f t="shared" si="14"/>
        <v>9</v>
      </c>
      <c r="CH26" s="191">
        <f t="shared" si="15"/>
        <v>2</v>
      </c>
      <c r="CI26" s="123">
        <f t="shared" si="16"/>
        <v>0</v>
      </c>
    </row>
    <row r="27" spans="1:87" s="4" customFormat="1" ht="39" customHeight="1">
      <c r="A27" s="44" t="s">
        <v>1148</v>
      </c>
      <c r="B27" s="124">
        <f t="shared" si="0"/>
        <v>2</v>
      </c>
      <c r="C27" s="125">
        <f t="shared" si="17"/>
        <v>0</v>
      </c>
      <c r="D27" s="126">
        <f t="shared" si="18"/>
        <v>1</v>
      </c>
      <c r="E27" s="127">
        <f t="shared" si="19"/>
        <v>0</v>
      </c>
      <c r="F27" s="127">
        <f t="shared" si="20"/>
        <v>1</v>
      </c>
      <c r="G27" s="127">
        <f t="shared" si="21"/>
        <v>0</v>
      </c>
      <c r="H27" s="127">
        <f t="shared" si="22"/>
        <v>0</v>
      </c>
      <c r="I27" s="127">
        <f t="shared" si="23"/>
        <v>0</v>
      </c>
      <c r="J27" s="127">
        <f t="shared" si="24"/>
        <v>0</v>
      </c>
      <c r="K27" s="128">
        <f t="shared" si="25"/>
        <v>1</v>
      </c>
      <c r="L27" s="128">
        <f t="shared" si="26"/>
        <v>0</v>
      </c>
      <c r="M27" s="128">
        <f t="shared" si="27"/>
        <v>1</v>
      </c>
      <c r="N27" s="129">
        <f t="shared" si="28"/>
        <v>0</v>
      </c>
      <c r="O27" s="130">
        <f t="shared" si="29"/>
        <v>2</v>
      </c>
      <c r="P27" s="131">
        <f t="shared" si="30"/>
        <v>0</v>
      </c>
      <c r="Q27" s="131">
        <f t="shared" si="31"/>
        <v>1</v>
      </c>
      <c r="R27" s="132">
        <f t="shared" si="55"/>
        <v>0</v>
      </c>
      <c r="S27" s="132">
        <f t="shared" si="55"/>
        <v>1</v>
      </c>
      <c r="T27" s="132">
        <f t="shared" si="55"/>
        <v>0</v>
      </c>
      <c r="U27" s="132">
        <f t="shared" si="55"/>
        <v>0</v>
      </c>
      <c r="V27" s="132">
        <f t="shared" si="55"/>
        <v>0</v>
      </c>
      <c r="W27" s="132">
        <f t="shared" si="55"/>
        <v>0</v>
      </c>
      <c r="X27" s="128">
        <f t="shared" si="33"/>
        <v>1</v>
      </c>
      <c r="Y27" s="133">
        <f t="shared" si="34"/>
        <v>0</v>
      </c>
      <c r="Z27" s="133">
        <f t="shared" si="34"/>
        <v>1</v>
      </c>
      <c r="AA27" s="134">
        <f t="shared" si="34"/>
        <v>0</v>
      </c>
      <c r="AB27" s="130">
        <f t="shared" si="35"/>
        <v>0</v>
      </c>
      <c r="AC27" s="145">
        <f t="shared" si="36"/>
        <v>0</v>
      </c>
      <c r="AD27" s="131">
        <f t="shared" si="37"/>
        <v>0</v>
      </c>
      <c r="AE27" s="132">
        <f t="shared" si="56"/>
        <v>0</v>
      </c>
      <c r="AF27" s="135">
        <f t="shared" si="56"/>
        <v>0</v>
      </c>
      <c r="AG27" s="135">
        <f t="shared" si="56"/>
        <v>0</v>
      </c>
      <c r="AH27" s="135">
        <f t="shared" si="56"/>
        <v>0</v>
      </c>
      <c r="AI27" s="135">
        <f t="shared" si="56"/>
        <v>0</v>
      </c>
      <c r="AJ27" s="135">
        <f t="shared" si="56"/>
        <v>0</v>
      </c>
      <c r="AK27" s="135">
        <f t="shared" si="39"/>
        <v>0</v>
      </c>
      <c r="AL27" s="135">
        <f t="shared" si="40"/>
        <v>0</v>
      </c>
      <c r="AM27" s="133">
        <f t="shared" si="40"/>
        <v>0</v>
      </c>
      <c r="AN27" s="134">
        <f t="shared" si="40"/>
        <v>0</v>
      </c>
      <c r="AO27" s="130">
        <f t="shared" si="41"/>
        <v>0</v>
      </c>
      <c r="AP27" s="136">
        <f t="shared" si="42"/>
        <v>0</v>
      </c>
      <c r="AQ27" s="131">
        <f t="shared" si="43"/>
        <v>0</v>
      </c>
      <c r="AR27" s="146">
        <f t="shared" si="57"/>
        <v>0</v>
      </c>
      <c r="AS27" s="147">
        <f t="shared" si="57"/>
        <v>0</v>
      </c>
      <c r="AT27" s="147">
        <f t="shared" si="57"/>
        <v>0</v>
      </c>
      <c r="AU27" s="147">
        <f t="shared" si="57"/>
        <v>0</v>
      </c>
      <c r="AV27" s="147">
        <f t="shared" si="57"/>
        <v>0</v>
      </c>
      <c r="AW27" s="147">
        <f t="shared" si="57"/>
        <v>0</v>
      </c>
      <c r="AX27" s="135">
        <f t="shared" si="45"/>
        <v>0</v>
      </c>
      <c r="AY27" s="135">
        <f t="shared" si="46"/>
        <v>0</v>
      </c>
      <c r="AZ27" s="133">
        <f t="shared" si="46"/>
        <v>0</v>
      </c>
      <c r="BA27" s="134">
        <f t="shared" si="46"/>
        <v>0</v>
      </c>
      <c r="BB27" s="148">
        <f t="shared" si="58"/>
        <v>0</v>
      </c>
      <c r="BC27" s="149">
        <f t="shared" si="59"/>
        <v>0</v>
      </c>
      <c r="BD27" s="145">
        <f t="shared" si="60"/>
        <v>0</v>
      </c>
      <c r="BE27" s="146">
        <f t="shared" si="61"/>
        <v>0</v>
      </c>
      <c r="BF27" s="147">
        <f t="shared" si="61"/>
        <v>0</v>
      </c>
      <c r="BG27" s="147">
        <f t="shared" si="61"/>
        <v>0</v>
      </c>
      <c r="BH27" s="147">
        <f t="shared" si="61"/>
        <v>0</v>
      </c>
      <c r="BI27" s="147">
        <f t="shared" si="61"/>
        <v>0</v>
      </c>
      <c r="BJ27" s="147">
        <f t="shared" si="61"/>
        <v>0</v>
      </c>
      <c r="BK27" s="150">
        <f t="shared" si="61"/>
        <v>0</v>
      </c>
      <c r="BL27" s="148">
        <f t="shared" si="62"/>
        <v>0</v>
      </c>
      <c r="BM27" s="149">
        <f t="shared" si="63"/>
        <v>0</v>
      </c>
      <c r="BN27" s="145">
        <f t="shared" si="64"/>
        <v>0</v>
      </c>
      <c r="BO27" s="146">
        <f t="shared" si="65"/>
        <v>0</v>
      </c>
      <c r="BP27" s="147">
        <f t="shared" si="65"/>
        <v>0</v>
      </c>
      <c r="BQ27" s="147">
        <f t="shared" si="65"/>
        <v>0</v>
      </c>
      <c r="BR27" s="147">
        <f t="shared" si="65"/>
        <v>0</v>
      </c>
      <c r="BS27" s="147">
        <f t="shared" si="65"/>
        <v>0</v>
      </c>
      <c r="BT27" s="147">
        <f t="shared" si="65"/>
        <v>0</v>
      </c>
      <c r="BU27" s="150">
        <f t="shared" si="65"/>
        <v>0</v>
      </c>
      <c r="BV27" s="7"/>
      <c r="BW27" s="122">
        <f t="shared" si="4"/>
        <v>2</v>
      </c>
      <c r="BX27" s="191">
        <f t="shared" si="5"/>
        <v>0</v>
      </c>
      <c r="BY27" s="191">
        <f t="shared" si="6"/>
        <v>1</v>
      </c>
      <c r="BZ27" s="191">
        <f t="shared" si="7"/>
        <v>0</v>
      </c>
      <c r="CA27" s="191">
        <f t="shared" si="8"/>
        <v>1</v>
      </c>
      <c r="CB27" s="191">
        <f t="shared" si="9"/>
        <v>0</v>
      </c>
      <c r="CC27" s="191">
        <f t="shared" si="10"/>
        <v>0</v>
      </c>
      <c r="CD27" s="191">
        <f t="shared" si="11"/>
        <v>0</v>
      </c>
      <c r="CE27" s="191">
        <f t="shared" si="12"/>
        <v>0</v>
      </c>
      <c r="CF27" s="191">
        <f t="shared" si="13"/>
        <v>1</v>
      </c>
      <c r="CG27" s="191">
        <f t="shared" si="14"/>
        <v>0</v>
      </c>
      <c r="CH27" s="191">
        <f t="shared" si="15"/>
        <v>1</v>
      </c>
      <c r="CI27" s="123">
        <f t="shared" si="16"/>
        <v>0</v>
      </c>
    </row>
    <row r="28" spans="1:87" s="4" customFormat="1" ht="39" customHeight="1">
      <c r="A28" s="43" t="s">
        <v>1069</v>
      </c>
      <c r="B28" s="124">
        <f t="shared" si="0"/>
        <v>5</v>
      </c>
      <c r="C28" s="125">
        <f t="shared" si="17"/>
        <v>1</v>
      </c>
      <c r="D28" s="126">
        <f t="shared" si="18"/>
        <v>3</v>
      </c>
      <c r="E28" s="127">
        <f t="shared" si="19"/>
        <v>2</v>
      </c>
      <c r="F28" s="127">
        <f t="shared" si="20"/>
        <v>0</v>
      </c>
      <c r="G28" s="127">
        <f t="shared" si="21"/>
        <v>0</v>
      </c>
      <c r="H28" s="127">
        <f t="shared" si="22"/>
        <v>0</v>
      </c>
      <c r="I28" s="127">
        <f t="shared" si="23"/>
        <v>1</v>
      </c>
      <c r="J28" s="127">
        <f t="shared" si="24"/>
        <v>0</v>
      </c>
      <c r="K28" s="128">
        <f t="shared" si="25"/>
        <v>1</v>
      </c>
      <c r="L28" s="128">
        <f t="shared" si="26"/>
        <v>1</v>
      </c>
      <c r="M28" s="128">
        <f t="shared" si="27"/>
        <v>0</v>
      </c>
      <c r="N28" s="129">
        <f t="shared" si="28"/>
        <v>0</v>
      </c>
      <c r="O28" s="130">
        <f t="shared" si="29"/>
        <v>2</v>
      </c>
      <c r="P28" s="131">
        <f t="shared" si="30"/>
        <v>0</v>
      </c>
      <c r="Q28" s="131">
        <f t="shared" si="31"/>
        <v>2</v>
      </c>
      <c r="R28" s="132">
        <f t="shared" si="55"/>
        <v>1</v>
      </c>
      <c r="S28" s="132">
        <f t="shared" si="55"/>
        <v>0</v>
      </c>
      <c r="T28" s="132">
        <f t="shared" si="55"/>
        <v>0</v>
      </c>
      <c r="U28" s="132">
        <f t="shared" si="55"/>
        <v>0</v>
      </c>
      <c r="V28" s="132">
        <f t="shared" si="55"/>
        <v>1</v>
      </c>
      <c r="W28" s="132">
        <f t="shared" si="55"/>
        <v>0</v>
      </c>
      <c r="X28" s="128">
        <f t="shared" si="33"/>
        <v>0</v>
      </c>
      <c r="Y28" s="133">
        <f t="shared" si="34"/>
        <v>0</v>
      </c>
      <c r="Z28" s="133">
        <f t="shared" si="34"/>
        <v>0</v>
      </c>
      <c r="AA28" s="134">
        <f t="shared" si="34"/>
        <v>0</v>
      </c>
      <c r="AB28" s="130">
        <f t="shared" si="35"/>
        <v>2</v>
      </c>
      <c r="AC28" s="145">
        <f t="shared" si="36"/>
        <v>1</v>
      </c>
      <c r="AD28" s="131">
        <f t="shared" si="37"/>
        <v>1</v>
      </c>
      <c r="AE28" s="132">
        <f t="shared" si="56"/>
        <v>1</v>
      </c>
      <c r="AF28" s="135">
        <f t="shared" si="56"/>
        <v>0</v>
      </c>
      <c r="AG28" s="135">
        <f t="shared" si="56"/>
        <v>0</v>
      </c>
      <c r="AH28" s="135">
        <f t="shared" si="56"/>
        <v>0</v>
      </c>
      <c r="AI28" s="135">
        <f t="shared" si="56"/>
        <v>0</v>
      </c>
      <c r="AJ28" s="135">
        <f t="shared" si="56"/>
        <v>0</v>
      </c>
      <c r="AK28" s="135">
        <f t="shared" si="39"/>
        <v>0</v>
      </c>
      <c r="AL28" s="135">
        <f t="shared" si="40"/>
        <v>0</v>
      </c>
      <c r="AM28" s="133">
        <f t="shared" si="40"/>
        <v>0</v>
      </c>
      <c r="AN28" s="134">
        <f t="shared" si="40"/>
        <v>0</v>
      </c>
      <c r="AO28" s="130">
        <f t="shared" si="41"/>
        <v>1</v>
      </c>
      <c r="AP28" s="136">
        <f t="shared" si="42"/>
        <v>0</v>
      </c>
      <c r="AQ28" s="131">
        <f t="shared" si="43"/>
        <v>0</v>
      </c>
      <c r="AR28" s="146">
        <f t="shared" si="57"/>
        <v>0</v>
      </c>
      <c r="AS28" s="147">
        <f t="shared" si="57"/>
        <v>0</v>
      </c>
      <c r="AT28" s="147">
        <f t="shared" si="57"/>
        <v>0</v>
      </c>
      <c r="AU28" s="147">
        <f t="shared" si="57"/>
        <v>0</v>
      </c>
      <c r="AV28" s="147">
        <f t="shared" si="57"/>
        <v>0</v>
      </c>
      <c r="AW28" s="147">
        <f t="shared" si="57"/>
        <v>0</v>
      </c>
      <c r="AX28" s="135">
        <f t="shared" si="45"/>
        <v>1</v>
      </c>
      <c r="AY28" s="135">
        <f t="shared" si="46"/>
        <v>1</v>
      </c>
      <c r="AZ28" s="133">
        <f t="shared" si="46"/>
        <v>0</v>
      </c>
      <c r="BA28" s="134">
        <f t="shared" si="46"/>
        <v>0</v>
      </c>
      <c r="BB28" s="148">
        <f t="shared" si="58"/>
        <v>0</v>
      </c>
      <c r="BC28" s="149">
        <f t="shared" si="59"/>
        <v>0</v>
      </c>
      <c r="BD28" s="145">
        <f t="shared" si="60"/>
        <v>0</v>
      </c>
      <c r="BE28" s="146">
        <f t="shared" si="61"/>
        <v>0</v>
      </c>
      <c r="BF28" s="147">
        <f t="shared" si="61"/>
        <v>0</v>
      </c>
      <c r="BG28" s="147">
        <f t="shared" si="61"/>
        <v>0</v>
      </c>
      <c r="BH28" s="147">
        <f t="shared" si="61"/>
        <v>0</v>
      </c>
      <c r="BI28" s="147">
        <f t="shared" si="61"/>
        <v>0</v>
      </c>
      <c r="BJ28" s="147">
        <f t="shared" si="61"/>
        <v>0</v>
      </c>
      <c r="BK28" s="150">
        <f t="shared" si="61"/>
        <v>0</v>
      </c>
      <c r="BL28" s="148">
        <f t="shared" si="62"/>
        <v>0</v>
      </c>
      <c r="BM28" s="149">
        <f t="shared" si="63"/>
        <v>0</v>
      </c>
      <c r="BN28" s="145">
        <f t="shared" si="64"/>
        <v>0</v>
      </c>
      <c r="BO28" s="146">
        <f t="shared" si="65"/>
        <v>0</v>
      </c>
      <c r="BP28" s="147">
        <f t="shared" si="65"/>
        <v>0</v>
      </c>
      <c r="BQ28" s="147">
        <f t="shared" si="65"/>
        <v>0</v>
      </c>
      <c r="BR28" s="147">
        <f t="shared" si="65"/>
        <v>0</v>
      </c>
      <c r="BS28" s="147">
        <f t="shared" si="65"/>
        <v>0</v>
      </c>
      <c r="BT28" s="147">
        <f t="shared" si="65"/>
        <v>0</v>
      </c>
      <c r="BU28" s="150">
        <f t="shared" si="65"/>
        <v>0</v>
      </c>
      <c r="BV28" s="7"/>
      <c r="BW28" s="122">
        <f t="shared" si="4"/>
        <v>4</v>
      </c>
      <c r="BX28" s="191">
        <f t="shared" si="5"/>
        <v>1</v>
      </c>
      <c r="BY28" s="191">
        <f t="shared" si="6"/>
        <v>3</v>
      </c>
      <c r="BZ28" s="191">
        <f t="shared" si="7"/>
        <v>2</v>
      </c>
      <c r="CA28" s="191">
        <f t="shared" si="8"/>
        <v>0</v>
      </c>
      <c r="CB28" s="191">
        <f t="shared" si="9"/>
        <v>0</v>
      </c>
      <c r="CC28" s="191">
        <f t="shared" si="10"/>
        <v>0</v>
      </c>
      <c r="CD28" s="191">
        <f t="shared" si="11"/>
        <v>1</v>
      </c>
      <c r="CE28" s="191">
        <f t="shared" si="12"/>
        <v>0</v>
      </c>
      <c r="CF28" s="191">
        <f t="shared" si="13"/>
        <v>0</v>
      </c>
      <c r="CG28" s="191">
        <f t="shared" si="14"/>
        <v>0</v>
      </c>
      <c r="CH28" s="191">
        <f t="shared" si="15"/>
        <v>0</v>
      </c>
      <c r="CI28" s="123">
        <f t="shared" si="16"/>
        <v>0</v>
      </c>
    </row>
    <row r="29" spans="1:87" s="4" customFormat="1" ht="39" customHeight="1">
      <c r="A29" s="43" t="s">
        <v>1083</v>
      </c>
      <c r="B29" s="124">
        <f t="shared" si="0"/>
        <v>1</v>
      </c>
      <c r="C29" s="125">
        <f t="shared" si="17"/>
        <v>0</v>
      </c>
      <c r="D29" s="126">
        <f t="shared" si="18"/>
        <v>1</v>
      </c>
      <c r="E29" s="127">
        <f t="shared" si="19"/>
        <v>0</v>
      </c>
      <c r="F29" s="127">
        <f t="shared" si="20"/>
        <v>0</v>
      </c>
      <c r="G29" s="127">
        <f t="shared" si="21"/>
        <v>0</v>
      </c>
      <c r="H29" s="127">
        <f t="shared" si="22"/>
        <v>0</v>
      </c>
      <c r="I29" s="127">
        <f t="shared" si="23"/>
        <v>1</v>
      </c>
      <c r="J29" s="127">
        <f t="shared" si="24"/>
        <v>0</v>
      </c>
      <c r="K29" s="128">
        <f t="shared" si="25"/>
        <v>0</v>
      </c>
      <c r="L29" s="128">
        <f t="shared" si="26"/>
        <v>0</v>
      </c>
      <c r="M29" s="128">
        <f t="shared" si="27"/>
        <v>0</v>
      </c>
      <c r="N29" s="129">
        <f t="shared" si="28"/>
        <v>0</v>
      </c>
      <c r="O29" s="130">
        <f t="shared" si="29"/>
        <v>1</v>
      </c>
      <c r="P29" s="131">
        <f t="shared" si="30"/>
        <v>0</v>
      </c>
      <c r="Q29" s="131">
        <f t="shared" si="31"/>
        <v>1</v>
      </c>
      <c r="R29" s="132">
        <f t="shared" si="55"/>
        <v>0</v>
      </c>
      <c r="S29" s="132">
        <f t="shared" si="55"/>
        <v>0</v>
      </c>
      <c r="T29" s="132">
        <f t="shared" si="55"/>
        <v>0</v>
      </c>
      <c r="U29" s="132">
        <f t="shared" si="55"/>
        <v>0</v>
      </c>
      <c r="V29" s="132">
        <f t="shared" si="55"/>
        <v>1</v>
      </c>
      <c r="W29" s="132">
        <f t="shared" si="55"/>
        <v>0</v>
      </c>
      <c r="X29" s="128">
        <f t="shared" si="33"/>
        <v>0</v>
      </c>
      <c r="Y29" s="133">
        <f t="shared" si="34"/>
        <v>0</v>
      </c>
      <c r="Z29" s="133">
        <f t="shared" si="34"/>
        <v>0</v>
      </c>
      <c r="AA29" s="134">
        <f t="shared" si="34"/>
        <v>0</v>
      </c>
      <c r="AB29" s="130">
        <f t="shared" si="35"/>
        <v>0</v>
      </c>
      <c r="AC29" s="145">
        <f t="shared" si="36"/>
        <v>0</v>
      </c>
      <c r="AD29" s="131">
        <f t="shared" si="37"/>
        <v>0</v>
      </c>
      <c r="AE29" s="132">
        <f t="shared" si="56"/>
        <v>0</v>
      </c>
      <c r="AF29" s="135">
        <f t="shared" si="56"/>
        <v>0</v>
      </c>
      <c r="AG29" s="135">
        <f t="shared" si="56"/>
        <v>0</v>
      </c>
      <c r="AH29" s="135">
        <f t="shared" si="56"/>
        <v>0</v>
      </c>
      <c r="AI29" s="135">
        <f t="shared" si="56"/>
        <v>0</v>
      </c>
      <c r="AJ29" s="135">
        <f t="shared" si="56"/>
        <v>0</v>
      </c>
      <c r="AK29" s="135">
        <f t="shared" si="39"/>
        <v>0</v>
      </c>
      <c r="AL29" s="135">
        <f t="shared" si="40"/>
        <v>0</v>
      </c>
      <c r="AM29" s="133">
        <f t="shared" si="40"/>
        <v>0</v>
      </c>
      <c r="AN29" s="134">
        <f t="shared" si="40"/>
        <v>0</v>
      </c>
      <c r="AO29" s="130">
        <f t="shared" si="41"/>
        <v>0</v>
      </c>
      <c r="AP29" s="136">
        <f t="shared" si="42"/>
        <v>0</v>
      </c>
      <c r="AQ29" s="131">
        <f t="shared" si="43"/>
        <v>0</v>
      </c>
      <c r="AR29" s="146">
        <f t="shared" si="57"/>
        <v>0</v>
      </c>
      <c r="AS29" s="147">
        <f t="shared" si="57"/>
        <v>0</v>
      </c>
      <c r="AT29" s="147">
        <f t="shared" si="57"/>
        <v>0</v>
      </c>
      <c r="AU29" s="147">
        <f t="shared" si="57"/>
        <v>0</v>
      </c>
      <c r="AV29" s="147">
        <f t="shared" si="57"/>
        <v>0</v>
      </c>
      <c r="AW29" s="147">
        <f t="shared" si="57"/>
        <v>0</v>
      </c>
      <c r="AX29" s="135">
        <f t="shared" si="45"/>
        <v>0</v>
      </c>
      <c r="AY29" s="135">
        <f t="shared" si="46"/>
        <v>0</v>
      </c>
      <c r="AZ29" s="133">
        <f t="shared" si="46"/>
        <v>0</v>
      </c>
      <c r="BA29" s="134">
        <f t="shared" si="46"/>
        <v>0</v>
      </c>
      <c r="BB29" s="148">
        <f t="shared" si="58"/>
        <v>0</v>
      </c>
      <c r="BC29" s="149">
        <f t="shared" si="59"/>
        <v>0</v>
      </c>
      <c r="BD29" s="145">
        <f t="shared" si="60"/>
        <v>0</v>
      </c>
      <c r="BE29" s="146">
        <f t="shared" si="61"/>
        <v>0</v>
      </c>
      <c r="BF29" s="147">
        <f t="shared" si="61"/>
        <v>0</v>
      </c>
      <c r="BG29" s="147">
        <f t="shared" si="61"/>
        <v>0</v>
      </c>
      <c r="BH29" s="147">
        <f t="shared" si="61"/>
        <v>0</v>
      </c>
      <c r="BI29" s="147">
        <f t="shared" si="61"/>
        <v>0</v>
      </c>
      <c r="BJ29" s="147">
        <f t="shared" si="61"/>
        <v>0</v>
      </c>
      <c r="BK29" s="150">
        <f t="shared" si="61"/>
        <v>0</v>
      </c>
      <c r="BL29" s="148">
        <f t="shared" si="62"/>
        <v>0</v>
      </c>
      <c r="BM29" s="149">
        <f t="shared" si="63"/>
        <v>0</v>
      </c>
      <c r="BN29" s="145">
        <f t="shared" si="64"/>
        <v>0</v>
      </c>
      <c r="BO29" s="146">
        <f t="shared" si="65"/>
        <v>0</v>
      </c>
      <c r="BP29" s="147">
        <f t="shared" si="65"/>
        <v>0</v>
      </c>
      <c r="BQ29" s="147">
        <f t="shared" si="65"/>
        <v>0</v>
      </c>
      <c r="BR29" s="147">
        <f t="shared" si="65"/>
        <v>0</v>
      </c>
      <c r="BS29" s="147">
        <f t="shared" si="65"/>
        <v>0</v>
      </c>
      <c r="BT29" s="147">
        <f t="shared" si="65"/>
        <v>0</v>
      </c>
      <c r="BU29" s="150">
        <f t="shared" si="65"/>
        <v>0</v>
      </c>
      <c r="BV29" s="7"/>
      <c r="BW29" s="122">
        <f t="shared" si="4"/>
        <v>1</v>
      </c>
      <c r="BX29" s="191">
        <f t="shared" si="5"/>
        <v>0</v>
      </c>
      <c r="BY29" s="191">
        <f t="shared" si="6"/>
        <v>1</v>
      </c>
      <c r="BZ29" s="191">
        <f t="shared" si="7"/>
        <v>0</v>
      </c>
      <c r="CA29" s="191">
        <f t="shared" si="8"/>
        <v>0</v>
      </c>
      <c r="CB29" s="191">
        <f t="shared" si="9"/>
        <v>0</v>
      </c>
      <c r="CC29" s="191">
        <f t="shared" si="10"/>
        <v>0</v>
      </c>
      <c r="CD29" s="191">
        <f t="shared" si="11"/>
        <v>1</v>
      </c>
      <c r="CE29" s="191">
        <f t="shared" si="12"/>
        <v>0</v>
      </c>
      <c r="CF29" s="191">
        <f t="shared" si="13"/>
        <v>0</v>
      </c>
      <c r="CG29" s="191">
        <f t="shared" si="14"/>
        <v>0</v>
      </c>
      <c r="CH29" s="191">
        <f t="shared" si="15"/>
        <v>0</v>
      </c>
      <c r="CI29" s="123">
        <f t="shared" si="16"/>
        <v>0</v>
      </c>
    </row>
    <row r="30" spans="1:87" s="4" customFormat="1" ht="39" customHeight="1">
      <c r="A30" s="43" t="s">
        <v>1315</v>
      </c>
      <c r="B30" s="124">
        <f t="shared" si="0"/>
        <v>6</v>
      </c>
      <c r="C30" s="125">
        <f t="shared" si="17"/>
        <v>0</v>
      </c>
      <c r="D30" s="126">
        <f t="shared" si="18"/>
        <v>3</v>
      </c>
      <c r="E30" s="127">
        <f t="shared" si="19"/>
        <v>0</v>
      </c>
      <c r="F30" s="127">
        <f t="shared" si="20"/>
        <v>1</v>
      </c>
      <c r="G30" s="127">
        <f t="shared" si="21"/>
        <v>1</v>
      </c>
      <c r="H30" s="127">
        <f t="shared" si="22"/>
        <v>0</v>
      </c>
      <c r="I30" s="127">
        <f t="shared" si="23"/>
        <v>0</v>
      </c>
      <c r="J30" s="127">
        <f t="shared" si="24"/>
        <v>1</v>
      </c>
      <c r="K30" s="128">
        <f t="shared" si="25"/>
        <v>3</v>
      </c>
      <c r="L30" s="128">
        <f t="shared" si="26"/>
        <v>1</v>
      </c>
      <c r="M30" s="128">
        <f t="shared" si="27"/>
        <v>1</v>
      </c>
      <c r="N30" s="129">
        <f t="shared" si="28"/>
        <v>1</v>
      </c>
      <c r="O30" s="130">
        <f t="shared" si="29"/>
        <v>3</v>
      </c>
      <c r="P30" s="131">
        <f t="shared" si="30"/>
        <v>0</v>
      </c>
      <c r="Q30" s="131">
        <f t="shared" si="31"/>
        <v>2</v>
      </c>
      <c r="R30" s="132">
        <f t="shared" si="55"/>
        <v>0</v>
      </c>
      <c r="S30" s="132">
        <f t="shared" si="55"/>
        <v>0</v>
      </c>
      <c r="T30" s="132">
        <f t="shared" si="55"/>
        <v>1</v>
      </c>
      <c r="U30" s="132">
        <f t="shared" si="55"/>
        <v>0</v>
      </c>
      <c r="V30" s="132">
        <f t="shared" si="55"/>
        <v>0</v>
      </c>
      <c r="W30" s="132">
        <f t="shared" si="55"/>
        <v>1</v>
      </c>
      <c r="X30" s="128">
        <f t="shared" si="33"/>
        <v>1</v>
      </c>
      <c r="Y30" s="133">
        <f t="shared" si="34"/>
        <v>1</v>
      </c>
      <c r="Z30" s="133">
        <f t="shared" si="34"/>
        <v>0</v>
      </c>
      <c r="AA30" s="134">
        <f t="shared" si="34"/>
        <v>0</v>
      </c>
      <c r="AB30" s="130">
        <f t="shared" si="35"/>
        <v>3</v>
      </c>
      <c r="AC30" s="145">
        <f t="shared" si="36"/>
        <v>0</v>
      </c>
      <c r="AD30" s="131">
        <f t="shared" si="37"/>
        <v>1</v>
      </c>
      <c r="AE30" s="132">
        <f t="shared" si="56"/>
        <v>0</v>
      </c>
      <c r="AF30" s="135">
        <f t="shared" si="56"/>
        <v>1</v>
      </c>
      <c r="AG30" s="135">
        <f t="shared" si="56"/>
        <v>0</v>
      </c>
      <c r="AH30" s="135">
        <f t="shared" si="56"/>
        <v>0</v>
      </c>
      <c r="AI30" s="135">
        <f t="shared" si="56"/>
        <v>0</v>
      </c>
      <c r="AJ30" s="135">
        <f t="shared" si="56"/>
        <v>0</v>
      </c>
      <c r="AK30" s="135">
        <f t="shared" si="39"/>
        <v>2</v>
      </c>
      <c r="AL30" s="135">
        <f t="shared" si="40"/>
        <v>0</v>
      </c>
      <c r="AM30" s="133">
        <f t="shared" si="40"/>
        <v>1</v>
      </c>
      <c r="AN30" s="134">
        <f t="shared" si="40"/>
        <v>1</v>
      </c>
      <c r="AO30" s="130">
        <f t="shared" si="41"/>
        <v>0</v>
      </c>
      <c r="AP30" s="136">
        <f t="shared" si="42"/>
        <v>0</v>
      </c>
      <c r="AQ30" s="131">
        <f t="shared" si="43"/>
        <v>0</v>
      </c>
      <c r="AR30" s="146">
        <f t="shared" si="57"/>
        <v>0</v>
      </c>
      <c r="AS30" s="147">
        <f t="shared" si="57"/>
        <v>0</v>
      </c>
      <c r="AT30" s="147">
        <f t="shared" si="57"/>
        <v>0</v>
      </c>
      <c r="AU30" s="147">
        <f t="shared" si="57"/>
        <v>0</v>
      </c>
      <c r="AV30" s="147">
        <f t="shared" si="57"/>
        <v>0</v>
      </c>
      <c r="AW30" s="147">
        <f t="shared" si="57"/>
        <v>0</v>
      </c>
      <c r="AX30" s="135">
        <f t="shared" si="45"/>
        <v>0</v>
      </c>
      <c r="AY30" s="135">
        <f t="shared" si="46"/>
        <v>0</v>
      </c>
      <c r="AZ30" s="133">
        <f t="shared" si="46"/>
        <v>0</v>
      </c>
      <c r="BA30" s="134">
        <f t="shared" si="46"/>
        <v>0</v>
      </c>
      <c r="BB30" s="148">
        <f t="shared" si="58"/>
        <v>0</v>
      </c>
      <c r="BC30" s="149">
        <f t="shared" si="59"/>
        <v>0</v>
      </c>
      <c r="BD30" s="145">
        <f t="shared" si="60"/>
        <v>0</v>
      </c>
      <c r="BE30" s="146">
        <f t="shared" si="61"/>
        <v>0</v>
      </c>
      <c r="BF30" s="147">
        <f t="shared" si="61"/>
        <v>0</v>
      </c>
      <c r="BG30" s="147">
        <f t="shared" si="61"/>
        <v>0</v>
      </c>
      <c r="BH30" s="147">
        <f t="shared" si="61"/>
        <v>0</v>
      </c>
      <c r="BI30" s="147">
        <f t="shared" si="61"/>
        <v>0</v>
      </c>
      <c r="BJ30" s="147">
        <f t="shared" si="61"/>
        <v>0</v>
      </c>
      <c r="BK30" s="150">
        <f t="shared" si="61"/>
        <v>0</v>
      </c>
      <c r="BL30" s="148">
        <f t="shared" si="62"/>
        <v>0</v>
      </c>
      <c r="BM30" s="149">
        <f t="shared" si="63"/>
        <v>0</v>
      </c>
      <c r="BN30" s="145">
        <f t="shared" si="64"/>
        <v>0</v>
      </c>
      <c r="BO30" s="146">
        <f t="shared" si="65"/>
        <v>0</v>
      </c>
      <c r="BP30" s="147">
        <f t="shared" si="65"/>
        <v>0</v>
      </c>
      <c r="BQ30" s="147">
        <f t="shared" si="65"/>
        <v>0</v>
      </c>
      <c r="BR30" s="147">
        <f t="shared" si="65"/>
        <v>0</v>
      </c>
      <c r="BS30" s="147">
        <f t="shared" si="65"/>
        <v>0</v>
      </c>
      <c r="BT30" s="147">
        <f t="shared" si="65"/>
        <v>0</v>
      </c>
      <c r="BU30" s="150">
        <f t="shared" si="65"/>
        <v>0</v>
      </c>
      <c r="BV30" s="7"/>
      <c r="BW30" s="122">
        <f t="shared" si="4"/>
        <v>6</v>
      </c>
      <c r="BX30" s="191">
        <f t="shared" si="5"/>
        <v>0</v>
      </c>
      <c r="BY30" s="191">
        <f t="shared" si="6"/>
        <v>3</v>
      </c>
      <c r="BZ30" s="191">
        <f t="shared" si="7"/>
        <v>0</v>
      </c>
      <c r="CA30" s="191">
        <f t="shared" si="8"/>
        <v>1</v>
      </c>
      <c r="CB30" s="191">
        <f t="shared" si="9"/>
        <v>1</v>
      </c>
      <c r="CC30" s="191">
        <f t="shared" si="10"/>
        <v>0</v>
      </c>
      <c r="CD30" s="191">
        <f t="shared" si="11"/>
        <v>0</v>
      </c>
      <c r="CE30" s="191">
        <f t="shared" si="12"/>
        <v>1</v>
      </c>
      <c r="CF30" s="191">
        <f t="shared" si="13"/>
        <v>3</v>
      </c>
      <c r="CG30" s="191">
        <f t="shared" si="14"/>
        <v>1</v>
      </c>
      <c r="CH30" s="191">
        <f t="shared" si="15"/>
        <v>1</v>
      </c>
      <c r="CI30" s="123">
        <f t="shared" si="16"/>
        <v>1</v>
      </c>
    </row>
    <row r="31" spans="1:87" s="4" customFormat="1" ht="39" customHeight="1">
      <c r="A31" s="43" t="s">
        <v>1086</v>
      </c>
      <c r="B31" s="124">
        <f t="shared" si="0"/>
        <v>3</v>
      </c>
      <c r="C31" s="125">
        <f t="shared" si="17"/>
        <v>3</v>
      </c>
      <c r="D31" s="126">
        <f t="shared" si="18"/>
        <v>0</v>
      </c>
      <c r="E31" s="127">
        <f t="shared" si="19"/>
        <v>0</v>
      </c>
      <c r="F31" s="127">
        <f t="shared" si="20"/>
        <v>0</v>
      </c>
      <c r="G31" s="127">
        <f t="shared" si="21"/>
        <v>0</v>
      </c>
      <c r="H31" s="127">
        <f t="shared" si="22"/>
        <v>0</v>
      </c>
      <c r="I31" s="127">
        <f t="shared" si="23"/>
        <v>0</v>
      </c>
      <c r="J31" s="127">
        <f t="shared" si="24"/>
        <v>0</v>
      </c>
      <c r="K31" s="128">
        <f t="shared" si="25"/>
        <v>0</v>
      </c>
      <c r="L31" s="128">
        <f t="shared" si="26"/>
        <v>0</v>
      </c>
      <c r="M31" s="128">
        <f t="shared" si="27"/>
        <v>0</v>
      </c>
      <c r="N31" s="129">
        <f t="shared" si="28"/>
        <v>0</v>
      </c>
      <c r="O31" s="130">
        <f t="shared" si="29"/>
        <v>0</v>
      </c>
      <c r="P31" s="131">
        <f t="shared" si="30"/>
        <v>0</v>
      </c>
      <c r="Q31" s="131">
        <f t="shared" si="31"/>
        <v>0</v>
      </c>
      <c r="R31" s="132">
        <f t="shared" si="55"/>
        <v>0</v>
      </c>
      <c r="S31" s="132">
        <f t="shared" si="55"/>
        <v>0</v>
      </c>
      <c r="T31" s="132">
        <f t="shared" si="55"/>
        <v>0</v>
      </c>
      <c r="U31" s="132">
        <f t="shared" si="55"/>
        <v>0</v>
      </c>
      <c r="V31" s="132">
        <f t="shared" si="55"/>
        <v>0</v>
      </c>
      <c r="W31" s="132">
        <f t="shared" si="55"/>
        <v>0</v>
      </c>
      <c r="X31" s="128">
        <f t="shared" si="33"/>
        <v>0</v>
      </c>
      <c r="Y31" s="133">
        <f t="shared" si="34"/>
        <v>0</v>
      </c>
      <c r="Z31" s="133">
        <f t="shared" si="34"/>
        <v>0</v>
      </c>
      <c r="AA31" s="134">
        <f t="shared" si="34"/>
        <v>0</v>
      </c>
      <c r="AB31" s="130">
        <f t="shared" si="35"/>
        <v>3</v>
      </c>
      <c r="AC31" s="145">
        <f t="shared" si="36"/>
        <v>3</v>
      </c>
      <c r="AD31" s="131">
        <f t="shared" si="37"/>
        <v>0</v>
      </c>
      <c r="AE31" s="132">
        <f t="shared" si="56"/>
        <v>0</v>
      </c>
      <c r="AF31" s="135">
        <f t="shared" si="56"/>
        <v>0</v>
      </c>
      <c r="AG31" s="135">
        <f t="shared" si="56"/>
        <v>0</v>
      </c>
      <c r="AH31" s="135">
        <f t="shared" si="56"/>
        <v>0</v>
      </c>
      <c r="AI31" s="135">
        <f t="shared" si="56"/>
        <v>0</v>
      </c>
      <c r="AJ31" s="135">
        <f t="shared" si="56"/>
        <v>0</v>
      </c>
      <c r="AK31" s="135">
        <f t="shared" si="39"/>
        <v>0</v>
      </c>
      <c r="AL31" s="135">
        <f t="shared" si="40"/>
        <v>0</v>
      </c>
      <c r="AM31" s="133">
        <f t="shared" si="40"/>
        <v>0</v>
      </c>
      <c r="AN31" s="134">
        <f t="shared" si="40"/>
        <v>0</v>
      </c>
      <c r="AO31" s="130">
        <f t="shared" si="41"/>
        <v>0</v>
      </c>
      <c r="AP31" s="136">
        <f t="shared" si="42"/>
        <v>0</v>
      </c>
      <c r="AQ31" s="131">
        <f t="shared" si="43"/>
        <v>0</v>
      </c>
      <c r="AR31" s="146">
        <f t="shared" si="57"/>
        <v>0</v>
      </c>
      <c r="AS31" s="147">
        <f t="shared" si="57"/>
        <v>0</v>
      </c>
      <c r="AT31" s="147">
        <f t="shared" si="57"/>
        <v>0</v>
      </c>
      <c r="AU31" s="147">
        <f t="shared" si="57"/>
        <v>0</v>
      </c>
      <c r="AV31" s="147">
        <f t="shared" si="57"/>
        <v>0</v>
      </c>
      <c r="AW31" s="147">
        <f t="shared" si="57"/>
        <v>0</v>
      </c>
      <c r="AX31" s="135">
        <f t="shared" si="45"/>
        <v>0</v>
      </c>
      <c r="AY31" s="135">
        <f t="shared" si="46"/>
        <v>0</v>
      </c>
      <c r="AZ31" s="133">
        <f t="shared" si="46"/>
        <v>0</v>
      </c>
      <c r="BA31" s="134">
        <f t="shared" si="46"/>
        <v>0</v>
      </c>
      <c r="BB31" s="148">
        <f t="shared" si="58"/>
        <v>0</v>
      </c>
      <c r="BC31" s="149">
        <f t="shared" si="59"/>
        <v>0</v>
      </c>
      <c r="BD31" s="145">
        <f t="shared" si="60"/>
        <v>0</v>
      </c>
      <c r="BE31" s="146">
        <f t="shared" si="61"/>
        <v>0</v>
      </c>
      <c r="BF31" s="147">
        <f t="shared" si="61"/>
        <v>0</v>
      </c>
      <c r="BG31" s="147">
        <f t="shared" si="61"/>
        <v>0</v>
      </c>
      <c r="BH31" s="147">
        <f t="shared" si="61"/>
        <v>0</v>
      </c>
      <c r="BI31" s="147">
        <f t="shared" si="61"/>
        <v>0</v>
      </c>
      <c r="BJ31" s="147">
        <f t="shared" si="61"/>
        <v>0</v>
      </c>
      <c r="BK31" s="150">
        <f t="shared" si="61"/>
        <v>0</v>
      </c>
      <c r="BL31" s="148">
        <f t="shared" si="62"/>
        <v>0</v>
      </c>
      <c r="BM31" s="149">
        <f t="shared" si="63"/>
        <v>0</v>
      </c>
      <c r="BN31" s="145">
        <f t="shared" si="64"/>
        <v>0</v>
      </c>
      <c r="BO31" s="146">
        <f t="shared" si="65"/>
        <v>0</v>
      </c>
      <c r="BP31" s="147">
        <f t="shared" si="65"/>
        <v>0</v>
      </c>
      <c r="BQ31" s="147">
        <f t="shared" si="65"/>
        <v>0</v>
      </c>
      <c r="BR31" s="147">
        <f t="shared" si="65"/>
        <v>0</v>
      </c>
      <c r="BS31" s="147">
        <f t="shared" si="65"/>
        <v>0</v>
      </c>
      <c r="BT31" s="147">
        <f t="shared" si="65"/>
        <v>0</v>
      </c>
      <c r="BU31" s="150">
        <f t="shared" si="65"/>
        <v>0</v>
      </c>
      <c r="BV31" s="7"/>
      <c r="BW31" s="122">
        <f t="shared" si="4"/>
        <v>3</v>
      </c>
      <c r="BX31" s="191">
        <f t="shared" si="5"/>
        <v>3</v>
      </c>
      <c r="BY31" s="191">
        <f t="shared" si="6"/>
        <v>0</v>
      </c>
      <c r="BZ31" s="191">
        <f t="shared" si="7"/>
        <v>0</v>
      </c>
      <c r="CA31" s="191">
        <f t="shared" si="8"/>
        <v>0</v>
      </c>
      <c r="CB31" s="191">
        <f t="shared" si="9"/>
        <v>0</v>
      </c>
      <c r="CC31" s="191">
        <f t="shared" si="10"/>
        <v>0</v>
      </c>
      <c r="CD31" s="191">
        <f t="shared" si="11"/>
        <v>0</v>
      </c>
      <c r="CE31" s="191">
        <f t="shared" si="12"/>
        <v>0</v>
      </c>
      <c r="CF31" s="191">
        <f t="shared" si="13"/>
        <v>0</v>
      </c>
      <c r="CG31" s="191">
        <f t="shared" si="14"/>
        <v>0</v>
      </c>
      <c r="CH31" s="191">
        <f t="shared" si="15"/>
        <v>0</v>
      </c>
      <c r="CI31" s="123">
        <f t="shared" si="16"/>
        <v>0</v>
      </c>
    </row>
    <row r="32" spans="1:87" s="4" customFormat="1" ht="39" customHeight="1" thickBot="1">
      <c r="A32" s="43" t="s">
        <v>1281</v>
      </c>
      <c r="B32" s="124">
        <f t="shared" si="0"/>
        <v>2</v>
      </c>
      <c r="C32" s="125">
        <f t="shared" si="17"/>
        <v>0</v>
      </c>
      <c r="D32" s="126">
        <f t="shared" si="18"/>
        <v>1</v>
      </c>
      <c r="E32" s="127">
        <f t="shared" si="19"/>
        <v>0</v>
      </c>
      <c r="F32" s="127">
        <f t="shared" si="20"/>
        <v>0</v>
      </c>
      <c r="G32" s="127">
        <f t="shared" si="21"/>
        <v>0</v>
      </c>
      <c r="H32" s="127">
        <f t="shared" si="22"/>
        <v>1</v>
      </c>
      <c r="I32" s="127">
        <f t="shared" si="23"/>
        <v>0</v>
      </c>
      <c r="J32" s="127">
        <f t="shared" si="24"/>
        <v>0</v>
      </c>
      <c r="K32" s="128">
        <f t="shared" si="25"/>
        <v>1</v>
      </c>
      <c r="L32" s="128">
        <f t="shared" si="26"/>
        <v>1</v>
      </c>
      <c r="M32" s="128">
        <f t="shared" si="27"/>
        <v>0</v>
      </c>
      <c r="N32" s="129">
        <f t="shared" si="28"/>
        <v>0</v>
      </c>
      <c r="O32" s="130">
        <f t="shared" si="29"/>
        <v>0</v>
      </c>
      <c r="P32" s="131">
        <f t="shared" si="30"/>
        <v>0</v>
      </c>
      <c r="Q32" s="131">
        <f t="shared" si="31"/>
        <v>0</v>
      </c>
      <c r="R32" s="132">
        <f t="shared" si="55"/>
        <v>0</v>
      </c>
      <c r="S32" s="132">
        <f t="shared" si="55"/>
        <v>0</v>
      </c>
      <c r="T32" s="132">
        <f t="shared" si="55"/>
        <v>0</v>
      </c>
      <c r="U32" s="132">
        <f t="shared" si="55"/>
        <v>0</v>
      </c>
      <c r="V32" s="132">
        <f t="shared" si="55"/>
        <v>0</v>
      </c>
      <c r="W32" s="132">
        <f t="shared" si="55"/>
        <v>0</v>
      </c>
      <c r="X32" s="128">
        <f t="shared" si="33"/>
        <v>0</v>
      </c>
      <c r="Y32" s="133">
        <f t="shared" si="34"/>
        <v>0</v>
      </c>
      <c r="Z32" s="133">
        <f t="shared" si="34"/>
        <v>0</v>
      </c>
      <c r="AA32" s="134">
        <f t="shared" si="34"/>
        <v>0</v>
      </c>
      <c r="AB32" s="130">
        <f t="shared" si="35"/>
        <v>2</v>
      </c>
      <c r="AC32" s="145">
        <f t="shared" si="36"/>
        <v>0</v>
      </c>
      <c r="AD32" s="131">
        <f t="shared" si="37"/>
        <v>1</v>
      </c>
      <c r="AE32" s="132">
        <f t="shared" si="56"/>
        <v>0</v>
      </c>
      <c r="AF32" s="135">
        <f t="shared" si="56"/>
        <v>0</v>
      </c>
      <c r="AG32" s="135">
        <f t="shared" si="56"/>
        <v>0</v>
      </c>
      <c r="AH32" s="135">
        <f t="shared" si="56"/>
        <v>1</v>
      </c>
      <c r="AI32" s="135">
        <f t="shared" si="56"/>
        <v>0</v>
      </c>
      <c r="AJ32" s="135">
        <f t="shared" si="56"/>
        <v>0</v>
      </c>
      <c r="AK32" s="135">
        <f t="shared" si="39"/>
        <v>1</v>
      </c>
      <c r="AL32" s="135">
        <f t="shared" si="40"/>
        <v>1</v>
      </c>
      <c r="AM32" s="133">
        <f t="shared" si="40"/>
        <v>0</v>
      </c>
      <c r="AN32" s="134">
        <f t="shared" si="40"/>
        <v>0</v>
      </c>
      <c r="AO32" s="130">
        <f t="shared" si="41"/>
        <v>0</v>
      </c>
      <c r="AP32" s="136">
        <f t="shared" si="42"/>
        <v>0</v>
      </c>
      <c r="AQ32" s="131">
        <f t="shared" si="43"/>
        <v>0</v>
      </c>
      <c r="AR32" s="146">
        <f t="shared" si="57"/>
        <v>0</v>
      </c>
      <c r="AS32" s="147">
        <f t="shared" si="57"/>
        <v>0</v>
      </c>
      <c r="AT32" s="147">
        <f t="shared" si="57"/>
        <v>0</v>
      </c>
      <c r="AU32" s="147">
        <f t="shared" si="57"/>
        <v>0</v>
      </c>
      <c r="AV32" s="147">
        <f t="shared" si="57"/>
        <v>0</v>
      </c>
      <c r="AW32" s="147">
        <f t="shared" si="57"/>
        <v>0</v>
      </c>
      <c r="AX32" s="135">
        <f t="shared" si="45"/>
        <v>0</v>
      </c>
      <c r="AY32" s="135">
        <f t="shared" si="46"/>
        <v>0</v>
      </c>
      <c r="AZ32" s="133">
        <f t="shared" si="46"/>
        <v>0</v>
      </c>
      <c r="BA32" s="134">
        <f t="shared" si="46"/>
        <v>0</v>
      </c>
      <c r="BB32" s="148">
        <f t="shared" si="58"/>
        <v>0</v>
      </c>
      <c r="BC32" s="149">
        <f t="shared" si="59"/>
        <v>0</v>
      </c>
      <c r="BD32" s="145">
        <f t="shared" si="60"/>
        <v>0</v>
      </c>
      <c r="BE32" s="146">
        <f t="shared" si="61"/>
        <v>0</v>
      </c>
      <c r="BF32" s="147">
        <f t="shared" si="61"/>
        <v>0</v>
      </c>
      <c r="BG32" s="147">
        <f t="shared" si="61"/>
        <v>0</v>
      </c>
      <c r="BH32" s="147">
        <f t="shared" si="61"/>
        <v>0</v>
      </c>
      <c r="BI32" s="147">
        <f t="shared" si="61"/>
        <v>0</v>
      </c>
      <c r="BJ32" s="147">
        <f t="shared" si="61"/>
        <v>0</v>
      </c>
      <c r="BK32" s="150">
        <f t="shared" si="61"/>
        <v>0</v>
      </c>
      <c r="BL32" s="148">
        <f t="shared" si="62"/>
        <v>0</v>
      </c>
      <c r="BM32" s="149">
        <f t="shared" si="63"/>
        <v>0</v>
      </c>
      <c r="BN32" s="145">
        <f t="shared" si="64"/>
        <v>0</v>
      </c>
      <c r="BO32" s="146">
        <f t="shared" si="65"/>
        <v>0</v>
      </c>
      <c r="BP32" s="147">
        <f t="shared" si="65"/>
        <v>0</v>
      </c>
      <c r="BQ32" s="147">
        <f t="shared" si="65"/>
        <v>0</v>
      </c>
      <c r="BR32" s="147">
        <f t="shared" si="65"/>
        <v>0</v>
      </c>
      <c r="BS32" s="147">
        <f t="shared" si="65"/>
        <v>0</v>
      </c>
      <c r="BT32" s="147">
        <f t="shared" si="65"/>
        <v>0</v>
      </c>
      <c r="BU32" s="150">
        <f t="shared" si="65"/>
        <v>0</v>
      </c>
      <c r="BV32" s="7"/>
      <c r="BW32" s="162">
        <f t="shared" si="4"/>
        <v>2</v>
      </c>
      <c r="BX32" s="163">
        <f t="shared" si="5"/>
        <v>0</v>
      </c>
      <c r="BY32" s="163">
        <f t="shared" si="6"/>
        <v>1</v>
      </c>
      <c r="BZ32" s="163">
        <f t="shared" si="7"/>
        <v>0</v>
      </c>
      <c r="CA32" s="163">
        <f t="shared" si="8"/>
        <v>0</v>
      </c>
      <c r="CB32" s="163">
        <f t="shared" si="9"/>
        <v>0</v>
      </c>
      <c r="CC32" s="163">
        <f t="shared" si="10"/>
        <v>1</v>
      </c>
      <c r="CD32" s="163">
        <f t="shared" si="11"/>
        <v>0</v>
      </c>
      <c r="CE32" s="163">
        <f t="shared" si="12"/>
        <v>0</v>
      </c>
      <c r="CF32" s="163">
        <f t="shared" si="13"/>
        <v>1</v>
      </c>
      <c r="CG32" s="163">
        <f t="shared" si="14"/>
        <v>1</v>
      </c>
      <c r="CH32" s="163">
        <f t="shared" si="15"/>
        <v>0</v>
      </c>
      <c r="CI32" s="164">
        <f t="shared" si="16"/>
        <v>0</v>
      </c>
    </row>
    <row r="33" spans="1:74" s="68" customFormat="1" ht="15" customHeight="1">
      <c r="A33" s="10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  <c r="BU33" s="73"/>
      <c r="BV33" s="73"/>
    </row>
    <row r="34" spans="1:74" s="13" customFormat="1" ht="35.1" customHeight="1">
      <c r="A34" s="11" t="s">
        <v>1361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12"/>
    </row>
    <row r="35" spans="1:74" s="68" customFormat="1" ht="15" customHeight="1">
      <c r="A35" s="10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6"/>
      <c r="W35" s="166"/>
      <c r="X35" s="166"/>
      <c r="Y35" s="166"/>
      <c r="Z35" s="166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  <c r="BI35" s="166"/>
      <c r="BJ35" s="166"/>
      <c r="BK35" s="166"/>
      <c r="BL35" s="166"/>
      <c r="BM35" s="166"/>
      <c r="BN35" s="166"/>
      <c r="BO35" s="166"/>
      <c r="BP35" s="166"/>
      <c r="BQ35" s="166"/>
      <c r="BR35" s="166"/>
      <c r="BS35" s="166"/>
      <c r="BT35" s="166"/>
      <c r="BU35" s="166"/>
      <c r="BV35" s="73"/>
    </row>
    <row r="36" spans="1:74" s="4" customFormat="1" ht="24.95" customHeight="1"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0"/>
      <c r="BN36" s="60"/>
      <c r="BO36" s="60"/>
      <c r="BP36" s="60"/>
      <c r="BQ36" s="60"/>
      <c r="BR36" s="60"/>
      <c r="BS36" s="60"/>
      <c r="BT36" s="60"/>
      <c r="BU36" s="60"/>
      <c r="BV36" s="60"/>
    </row>
    <row r="37" spans="1:74" s="17" customFormat="1" ht="24.95" customHeight="1">
      <c r="A37" s="50" t="s">
        <v>1362</v>
      </c>
      <c r="B37" s="51" t="s">
        <v>37</v>
      </c>
      <c r="C37" s="51" t="s">
        <v>1363</v>
      </c>
      <c r="D37" s="51" t="s">
        <v>40</v>
      </c>
      <c r="E37" s="51" t="s">
        <v>1364</v>
      </c>
      <c r="F37" s="51" t="s">
        <v>1365</v>
      </c>
      <c r="G37" s="51" t="s">
        <v>92</v>
      </c>
      <c r="H37" s="51" t="s">
        <v>1366</v>
      </c>
      <c r="I37" s="51" t="s">
        <v>1367</v>
      </c>
      <c r="J37" s="51" t="s">
        <v>67</v>
      </c>
      <c r="K37" s="51"/>
      <c r="L37" s="51" t="s">
        <v>68</v>
      </c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</row>
    <row r="38" spans="1:74" s="17" customFormat="1" ht="24.95" customHeight="1">
      <c r="A38" s="52" t="s">
        <v>37</v>
      </c>
      <c r="B38" s="167" t="e">
        <f t="shared" ref="B38:J38" si="66">SUM(B39,B40,B41)</f>
        <v>#REF!</v>
      </c>
      <c r="C38" s="167" t="e">
        <f t="shared" si="66"/>
        <v>#REF!</v>
      </c>
      <c r="D38" s="167" t="e">
        <f t="shared" si="66"/>
        <v>#REF!</v>
      </c>
      <c r="E38" s="167" t="e">
        <f t="shared" si="66"/>
        <v>#REF!</v>
      </c>
      <c r="F38" s="167" t="e">
        <f t="shared" si="66"/>
        <v>#REF!</v>
      </c>
      <c r="G38" s="167" t="e">
        <f t="shared" si="66"/>
        <v>#REF!</v>
      </c>
      <c r="H38" s="167" t="e">
        <f t="shared" si="66"/>
        <v>#REF!</v>
      </c>
      <c r="I38" s="167" t="e">
        <f t="shared" si="66"/>
        <v>#REF!</v>
      </c>
      <c r="J38" s="167" t="e">
        <f t="shared" si="66"/>
        <v>#REF!</v>
      </c>
      <c r="K38" s="167"/>
      <c r="L38" s="167" t="e">
        <f>SUM(L39,L40,L41)</f>
        <v>#REF!</v>
      </c>
      <c r="M38" s="168"/>
      <c r="N38" s="168"/>
      <c r="O38" s="66"/>
      <c r="P38" s="169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</row>
    <row r="39" spans="1:74" s="48" customFormat="1" ht="24.95" customHeight="1">
      <c r="A39" s="53" t="s">
        <v>1368</v>
      </c>
      <c r="B39" s="170">
        <f t="shared" ref="B39:J39" si="67">SUM(B8:B16)</f>
        <v>367</v>
      </c>
      <c r="C39" s="170">
        <f t="shared" si="67"/>
        <v>105</v>
      </c>
      <c r="D39" s="170">
        <f t="shared" si="67"/>
        <v>146</v>
      </c>
      <c r="E39" s="170">
        <f t="shared" si="67"/>
        <v>4</v>
      </c>
      <c r="F39" s="170">
        <f t="shared" si="67"/>
        <v>69</v>
      </c>
      <c r="G39" s="170">
        <f t="shared" si="67"/>
        <v>23</v>
      </c>
      <c r="H39" s="170">
        <f t="shared" si="67"/>
        <v>13</v>
      </c>
      <c r="I39" s="170">
        <f t="shared" si="67"/>
        <v>18</v>
      </c>
      <c r="J39" s="170">
        <f t="shared" si="67"/>
        <v>19</v>
      </c>
      <c r="K39" s="170"/>
      <c r="L39" s="170">
        <f>SUM(L8:L16)</f>
        <v>65</v>
      </c>
      <c r="M39" s="171"/>
      <c r="N39" s="171"/>
    </row>
    <row r="40" spans="1:74" s="49" customFormat="1" ht="24.95" customHeight="1">
      <c r="A40" s="54" t="s">
        <v>1368</v>
      </c>
      <c r="B40" s="172" t="e">
        <f>SUM(#REF!,B23,#REF!,B27,B20,B19,B18)</f>
        <v>#REF!</v>
      </c>
      <c r="C40" s="172" t="e">
        <f>SUM(#REF!,C23,#REF!,C27,C20,C19,C18)</f>
        <v>#REF!</v>
      </c>
      <c r="D40" s="172" t="e">
        <f>SUM(#REF!,D23,#REF!,D27,D20,D19,D18)</f>
        <v>#REF!</v>
      </c>
      <c r="E40" s="172" t="e">
        <f>SUM(#REF!,E23,#REF!,E27,E20,E19,E18)</f>
        <v>#REF!</v>
      </c>
      <c r="F40" s="172" t="e">
        <f>SUM(#REF!,F23,#REF!,F27,F20,F19,F18)</f>
        <v>#REF!</v>
      </c>
      <c r="G40" s="172" t="e">
        <f>SUM(#REF!,G23,#REF!,G27,G20,G19,G18)</f>
        <v>#REF!</v>
      </c>
      <c r="H40" s="172" t="e">
        <f>SUM(#REF!,H23,#REF!,H27,H20,H19,H18)</f>
        <v>#REF!</v>
      </c>
      <c r="I40" s="172" t="e">
        <f>SUM(#REF!,I23,#REF!,I27,I20,I19,I18)</f>
        <v>#REF!</v>
      </c>
      <c r="J40" s="172" t="e">
        <f>SUM(#REF!,J23,#REF!,J27,J20,J19,J18)</f>
        <v>#REF!</v>
      </c>
      <c r="K40" s="172"/>
      <c r="L40" s="172" t="e">
        <f>SUM(#REF!,L23,#REF!,L27,L20,L19,L18)</f>
        <v>#REF!</v>
      </c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</row>
    <row r="41" spans="1:74" s="16" customFormat="1" ht="24.95" customHeight="1">
      <c r="A41" s="55" t="s">
        <v>1369</v>
      </c>
      <c r="B41" s="174">
        <f t="shared" ref="B41:J41" si="68">SUM(B32,B31,B30,B29,B28,B21,B26,B25,B17)</f>
        <v>92</v>
      </c>
      <c r="C41" s="174">
        <f t="shared" si="68"/>
        <v>25</v>
      </c>
      <c r="D41" s="174">
        <f t="shared" si="68"/>
        <v>37</v>
      </c>
      <c r="E41" s="174">
        <f t="shared" si="68"/>
        <v>4</v>
      </c>
      <c r="F41" s="174">
        <f t="shared" si="68"/>
        <v>5</v>
      </c>
      <c r="G41" s="174">
        <f t="shared" si="68"/>
        <v>19</v>
      </c>
      <c r="H41" s="174">
        <f t="shared" si="68"/>
        <v>2</v>
      </c>
      <c r="I41" s="174">
        <f t="shared" si="68"/>
        <v>5</v>
      </c>
      <c r="J41" s="174">
        <f t="shared" si="68"/>
        <v>2</v>
      </c>
      <c r="K41" s="174"/>
      <c r="L41" s="174">
        <f>SUM(L32,L31,L30,L29,L28,L21,L26,L25,L17)</f>
        <v>26</v>
      </c>
      <c r="M41" s="175"/>
      <c r="N41" s="175"/>
      <c r="O41" s="58"/>
      <c r="P41" s="58"/>
      <c r="Q41" s="58"/>
      <c r="R41" s="58"/>
      <c r="S41" s="58"/>
      <c r="T41" s="58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</row>
    <row r="42" spans="1:74" s="68" customFormat="1" ht="24.95" customHeight="1">
      <c r="B42" s="73"/>
      <c r="C42" s="73"/>
      <c r="D42" s="73"/>
      <c r="E42" s="92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  <c r="BU42" s="73"/>
      <c r="BV42" s="73"/>
    </row>
    <row r="43" spans="1:74" s="68" customFormat="1" ht="24.95" customHeight="1"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</row>
    <row r="44" spans="1:74" s="4" customFormat="1" ht="24.95" customHeight="1">
      <c r="A44" s="4" t="s">
        <v>1370</v>
      </c>
      <c r="B44" s="60" t="s">
        <v>1371</v>
      </c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  <c r="BE44" s="60"/>
      <c r="BF44" s="60"/>
      <c r="BG44" s="60"/>
      <c r="BH44" s="60"/>
      <c r="BI44" s="60"/>
      <c r="BJ44" s="60"/>
      <c r="BK44" s="60"/>
      <c r="BL44" s="60"/>
      <c r="BM44" s="60"/>
      <c r="BN44" s="60"/>
      <c r="BO44" s="60"/>
      <c r="BP44" s="60"/>
      <c r="BQ44" s="60"/>
      <c r="BR44" s="60"/>
      <c r="BS44" s="60"/>
      <c r="BT44" s="60"/>
      <c r="BU44" s="60"/>
      <c r="BV44" s="60"/>
    </row>
    <row r="45" spans="1:74" s="4" customFormat="1" ht="24.95" customHeight="1"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  <c r="BE45" s="60"/>
      <c r="BF45" s="60"/>
      <c r="BG45" s="60"/>
      <c r="BH45" s="60"/>
      <c r="BI45" s="60"/>
      <c r="BJ45" s="60"/>
      <c r="BK45" s="60"/>
      <c r="BL45" s="60"/>
      <c r="BM45" s="60"/>
      <c r="BN45" s="60"/>
      <c r="BO45" s="60"/>
      <c r="BP45" s="60"/>
      <c r="BQ45" s="60"/>
      <c r="BR45" s="60"/>
      <c r="BS45" s="60"/>
      <c r="BT45" s="60"/>
      <c r="BU45" s="60"/>
      <c r="BV45" s="60"/>
    </row>
    <row r="46" spans="1:74" s="4" customFormat="1" ht="24.95" customHeight="1"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0"/>
      <c r="BP46" s="60"/>
      <c r="BQ46" s="60"/>
      <c r="BR46" s="60"/>
      <c r="BS46" s="60"/>
      <c r="BT46" s="60"/>
      <c r="BU46" s="60"/>
      <c r="BV46" s="60"/>
    </row>
    <row r="47" spans="1:74" s="4" customFormat="1" ht="24.95" customHeight="1"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  <c r="BM47" s="60"/>
      <c r="BN47" s="60"/>
      <c r="BO47" s="60"/>
      <c r="BP47" s="60"/>
      <c r="BQ47" s="60"/>
      <c r="BR47" s="60"/>
      <c r="BS47" s="60"/>
      <c r="BT47" s="60"/>
      <c r="BU47" s="60"/>
      <c r="BV47" s="60"/>
    </row>
    <row r="48" spans="1:74" s="4" customFormat="1" ht="24.95" customHeight="1"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  <c r="BE48" s="60"/>
      <c r="BF48" s="60"/>
      <c r="BG48" s="60"/>
      <c r="BH48" s="60"/>
      <c r="BI48" s="60"/>
      <c r="BJ48" s="60"/>
      <c r="BK48" s="60"/>
      <c r="BL48" s="60"/>
      <c r="BM48" s="60"/>
      <c r="BN48" s="60"/>
      <c r="BO48" s="60"/>
      <c r="BP48" s="60"/>
      <c r="BQ48" s="60"/>
      <c r="BR48" s="60"/>
      <c r="BS48" s="60"/>
      <c r="BT48" s="60"/>
      <c r="BU48" s="60"/>
      <c r="BV48" s="60"/>
    </row>
    <row r="49" spans="2:74" s="4" customFormat="1" ht="24.95" customHeight="1"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</row>
    <row r="50" spans="2:74" ht="20.100000000000001" customHeight="1"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  <c r="BU50" s="73"/>
      <c r="BV50" s="73"/>
    </row>
    <row r="51" spans="2:74" ht="20.100000000000001" customHeight="1"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3"/>
      <c r="AV51" s="73"/>
      <c r="AW51" s="73"/>
      <c r="AX51" s="73"/>
      <c r="AY51" s="73"/>
      <c r="AZ51" s="73"/>
      <c r="BA51" s="73"/>
      <c r="BB51" s="73"/>
      <c r="BC51" s="73"/>
      <c r="BD51" s="73"/>
      <c r="BE51" s="73"/>
      <c r="BF51" s="73"/>
      <c r="BG51" s="73"/>
      <c r="BH51" s="73"/>
      <c r="BI51" s="73"/>
      <c r="BJ51" s="73"/>
      <c r="BK51" s="73"/>
      <c r="BL51" s="73"/>
      <c r="BM51" s="73"/>
      <c r="BN51" s="73"/>
      <c r="BO51" s="73"/>
      <c r="BP51" s="73"/>
      <c r="BQ51" s="73"/>
      <c r="BR51" s="73"/>
      <c r="BS51" s="73"/>
      <c r="BT51" s="73"/>
      <c r="BU51" s="73"/>
      <c r="BV51" s="73"/>
    </row>
    <row r="52" spans="2:74"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3"/>
      <c r="AZ52" s="73"/>
      <c r="BA52" s="73"/>
      <c r="BB52" s="73"/>
      <c r="BC52" s="73"/>
      <c r="BD52" s="73"/>
      <c r="BE52" s="73"/>
      <c r="BF52" s="73"/>
      <c r="BG52" s="73"/>
      <c r="BH52" s="73"/>
      <c r="BI52" s="73"/>
      <c r="BJ52" s="73"/>
      <c r="BK52" s="73"/>
      <c r="BL52" s="73"/>
      <c r="BM52" s="73"/>
      <c r="BN52" s="73"/>
      <c r="BO52" s="73"/>
      <c r="BP52" s="73"/>
      <c r="BQ52" s="73"/>
      <c r="BR52" s="73"/>
      <c r="BS52" s="73"/>
      <c r="BT52" s="73"/>
      <c r="BU52" s="73"/>
      <c r="BV52" s="73"/>
    </row>
  </sheetData>
  <mergeCells count="35">
    <mergeCell ref="A2:BU2"/>
    <mergeCell ref="AX5:BA5"/>
    <mergeCell ref="A4:A6"/>
    <mergeCell ref="AO5:AO6"/>
    <mergeCell ref="B4:N4"/>
    <mergeCell ref="K5:N5"/>
    <mergeCell ref="BD5:BK5"/>
    <mergeCell ref="BN5:BU5"/>
    <mergeCell ref="AD5:AJ5"/>
    <mergeCell ref="Q5:W5"/>
    <mergeCell ref="B5:B6"/>
    <mergeCell ref="P5:P6"/>
    <mergeCell ref="O4:AA4"/>
    <mergeCell ref="X5:AA5"/>
    <mergeCell ref="O5:O6"/>
    <mergeCell ref="AQ5:AW5"/>
    <mergeCell ref="AB4:AN4"/>
    <mergeCell ref="BM5:BM6"/>
    <mergeCell ref="AK5:AN5"/>
    <mergeCell ref="BL5:BL6"/>
    <mergeCell ref="BX5:BX6"/>
    <mergeCell ref="BL4:BU4"/>
    <mergeCell ref="BB4:BK4"/>
    <mergeCell ref="BW4:CI4"/>
    <mergeCell ref="AB5:AB6"/>
    <mergeCell ref="AC5:AC6"/>
    <mergeCell ref="AP5:AP6"/>
    <mergeCell ref="AO4:BA4"/>
    <mergeCell ref="BB5:BB6"/>
    <mergeCell ref="C5:C6"/>
    <mergeCell ref="CF5:CI5"/>
    <mergeCell ref="BC5:BC6"/>
    <mergeCell ref="BW5:BW6"/>
    <mergeCell ref="BY5:CE5"/>
    <mergeCell ref="D5:J5"/>
  </mergeCells>
  <phoneticPr fontId="2" type="noConversion"/>
  <printOptions horizontalCentered="1"/>
  <pageMargins left="0.39370078740157483" right="0.31496062992125978" top="0.6692913385826772" bottom="0.43307086614173229" header="0.31496062992125978" footer="0.31496062992125978"/>
  <pageSetup paperSize="12" scale="5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BH547"/>
  <sheetViews>
    <sheetView tabSelected="1" zoomScale="70" zoomScaleNormal="70" workbookViewId="0">
      <pane xSplit="6" ySplit="5" topLeftCell="G9" activePane="bottomRight" state="frozen"/>
      <selection pane="topRight"/>
      <selection pane="bottomLeft"/>
      <selection pane="bottomRight" activeCell="H1" sqref="H1:H1048576"/>
    </sheetView>
  </sheetViews>
  <sheetFormatPr defaultRowHeight="16.5"/>
  <cols>
    <col min="1" max="1" width="5.875" style="70" customWidth="1"/>
    <col min="2" max="2" width="11.375" style="71" bestFit="1" customWidth="1"/>
    <col min="3" max="3" width="8" style="71" customWidth="1"/>
    <col min="4" max="4" width="9.75" style="71" customWidth="1"/>
    <col min="5" max="5" width="21.125" style="71" customWidth="1"/>
    <col min="6" max="6" width="27.125" style="72" customWidth="1"/>
    <col min="7" max="7" width="13.25" style="91" customWidth="1"/>
    <col min="8" max="8" width="10.625" style="70" customWidth="1"/>
    <col min="9" max="10" width="10.625" style="92" customWidth="1"/>
    <col min="11" max="11" width="11.75" style="92" customWidth="1"/>
    <col min="12" max="12" width="10.625" style="92" customWidth="1"/>
    <col min="13" max="13" width="12" style="92" customWidth="1"/>
    <col min="14" max="14" width="10.625" style="92" customWidth="1"/>
    <col min="15" max="15" width="10.5" style="92" customWidth="1"/>
    <col min="16" max="16" width="10.625" style="93" customWidth="1"/>
    <col min="17" max="17" width="13.25" style="93" customWidth="1"/>
    <col min="18" max="20" width="10.625" style="93" customWidth="1"/>
    <col min="21" max="21" width="12.25" style="92" customWidth="1"/>
    <col min="22" max="30" width="10.625" style="92" customWidth="1"/>
    <col min="31" max="31" width="12.875" style="92" customWidth="1"/>
    <col min="32" max="33" width="8.625" style="71" customWidth="1"/>
    <col min="34" max="35" width="10.125" style="94" customWidth="1"/>
    <col min="36" max="36" width="10.625" style="70" customWidth="1"/>
    <col min="37" max="38" width="6.625" style="70" customWidth="1"/>
    <col min="39" max="40" width="9.625" style="74" customWidth="1"/>
    <col min="41" max="41" width="9.625" style="75" customWidth="1"/>
    <col min="42" max="42" width="9.625" style="95" customWidth="1"/>
    <col min="43" max="45" width="9.625" style="70" customWidth="1"/>
    <col min="46" max="46" width="12" style="70" customWidth="1"/>
    <col min="47" max="47" width="12.75" style="70" customWidth="1"/>
    <col min="48" max="48" width="5.75" style="70" customWidth="1"/>
    <col min="49" max="49" width="10.5" style="70" customWidth="1"/>
    <col min="50" max="50" width="12.75" style="70" customWidth="1"/>
    <col min="51" max="59" width="9.625" style="70" customWidth="1"/>
    <col min="60" max="60" width="20" style="71" customWidth="1"/>
    <col min="61" max="62" width="9" style="68" customWidth="1"/>
    <col min="63" max="16384" width="9" style="68"/>
  </cols>
  <sheetData>
    <row r="1" spans="1:60" ht="40.5" customHeight="1">
      <c r="A1" s="57" t="s">
        <v>0</v>
      </c>
      <c r="C1" s="72"/>
      <c r="D1" s="72"/>
      <c r="E1" s="72"/>
      <c r="G1" s="97"/>
      <c r="H1" s="47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</row>
    <row r="2" spans="1:60" s="69" customFormat="1" ht="31.5" customHeight="1">
      <c r="A2" s="360" t="s">
        <v>1</v>
      </c>
      <c r="B2" s="362" t="s">
        <v>2</v>
      </c>
      <c r="C2" s="358" t="s">
        <v>3</v>
      </c>
      <c r="D2" s="358" t="s">
        <v>4</v>
      </c>
      <c r="E2" s="362" t="s">
        <v>5</v>
      </c>
      <c r="F2" s="362" t="s">
        <v>6</v>
      </c>
      <c r="G2" s="367" t="s">
        <v>7</v>
      </c>
      <c r="H2" s="362" t="s">
        <v>8</v>
      </c>
      <c r="I2" s="360" t="s">
        <v>9</v>
      </c>
      <c r="J2" s="368"/>
      <c r="K2" s="368"/>
      <c r="L2" s="368"/>
      <c r="M2" s="368"/>
      <c r="N2" s="368"/>
      <c r="O2" s="366"/>
      <c r="P2" s="360" t="s">
        <v>10</v>
      </c>
      <c r="Q2" s="368"/>
      <c r="R2" s="368"/>
      <c r="S2" s="366"/>
      <c r="T2" s="360" t="s">
        <v>11</v>
      </c>
      <c r="U2" s="368"/>
      <c r="V2" s="368"/>
      <c r="W2" s="368"/>
      <c r="X2" s="368"/>
      <c r="Y2" s="368"/>
      <c r="Z2" s="368"/>
      <c r="AA2" s="368"/>
      <c r="AB2" s="368"/>
      <c r="AC2" s="368"/>
      <c r="AD2" s="366"/>
      <c r="AE2" s="360" t="s">
        <v>12</v>
      </c>
      <c r="AF2" s="358" t="s">
        <v>13</v>
      </c>
      <c r="AG2" s="366"/>
      <c r="AH2" s="370" t="s">
        <v>14</v>
      </c>
      <c r="AI2" s="366"/>
      <c r="AJ2" s="360" t="s">
        <v>15</v>
      </c>
      <c r="AK2" s="360" t="s">
        <v>16</v>
      </c>
      <c r="AL2" s="366"/>
      <c r="AM2" s="364" t="s">
        <v>17</v>
      </c>
      <c r="AN2" s="364" t="s">
        <v>18</v>
      </c>
      <c r="AO2" s="364" t="s">
        <v>19</v>
      </c>
      <c r="AP2" s="365" t="s">
        <v>20</v>
      </c>
      <c r="AQ2" s="366"/>
      <c r="AR2" s="362" t="s">
        <v>21</v>
      </c>
      <c r="AS2" s="360" t="s">
        <v>22</v>
      </c>
      <c r="AT2" s="360" t="s">
        <v>23</v>
      </c>
      <c r="AU2" s="368"/>
      <c r="AV2" s="368"/>
      <c r="AW2" s="368"/>
      <c r="AX2" s="366"/>
      <c r="AY2" s="362" t="s">
        <v>24</v>
      </c>
      <c r="AZ2" s="362" t="s">
        <v>25</v>
      </c>
      <c r="BA2" s="362" t="s">
        <v>26</v>
      </c>
      <c r="BB2" s="360" t="s">
        <v>27</v>
      </c>
      <c r="BC2" s="360" t="s">
        <v>28</v>
      </c>
      <c r="BD2" s="360" t="s">
        <v>29</v>
      </c>
      <c r="BE2" s="360" t="s">
        <v>30</v>
      </c>
      <c r="BF2" s="360" t="s">
        <v>31</v>
      </c>
      <c r="BG2" s="360" t="s">
        <v>32</v>
      </c>
      <c r="BH2" s="360" t="s">
        <v>33</v>
      </c>
    </row>
    <row r="3" spans="1:60" s="69" customFormat="1" ht="21.95" customHeight="1">
      <c r="A3" s="359"/>
      <c r="B3" s="359"/>
      <c r="C3" s="359"/>
      <c r="D3" s="359"/>
      <c r="E3" s="359"/>
      <c r="F3" s="359"/>
      <c r="G3" s="359"/>
      <c r="H3" s="359"/>
      <c r="I3" s="360" t="s">
        <v>35</v>
      </c>
      <c r="J3" s="360" t="s">
        <v>36</v>
      </c>
      <c r="K3" s="368"/>
      <c r="L3" s="368"/>
      <c r="M3" s="368"/>
      <c r="N3" s="368"/>
      <c r="O3" s="366"/>
      <c r="P3" s="360" t="s">
        <v>37</v>
      </c>
      <c r="Q3" s="360" t="s">
        <v>38</v>
      </c>
      <c r="R3" s="366"/>
      <c r="S3" s="360" t="s">
        <v>39</v>
      </c>
      <c r="T3" s="360" t="s">
        <v>40</v>
      </c>
      <c r="U3" s="360" t="s">
        <v>38</v>
      </c>
      <c r="V3" s="368"/>
      <c r="W3" s="368"/>
      <c r="X3" s="368"/>
      <c r="Y3" s="368"/>
      <c r="Z3" s="366"/>
      <c r="AA3" s="360" t="s">
        <v>39</v>
      </c>
      <c r="AB3" s="368"/>
      <c r="AC3" s="368"/>
      <c r="AD3" s="366"/>
      <c r="AE3" s="363"/>
      <c r="AF3" s="358" t="s">
        <v>41</v>
      </c>
      <c r="AG3" s="358" t="s">
        <v>42</v>
      </c>
      <c r="AH3" s="371" t="s">
        <v>43</v>
      </c>
      <c r="AI3" s="370" t="s">
        <v>44</v>
      </c>
      <c r="AJ3" s="363"/>
      <c r="AK3" s="360" t="s">
        <v>45</v>
      </c>
      <c r="AL3" s="360" t="s">
        <v>46</v>
      </c>
      <c r="AM3" s="363"/>
      <c r="AN3" s="363"/>
      <c r="AO3" s="363"/>
      <c r="AP3" s="365" t="s">
        <v>47</v>
      </c>
      <c r="AQ3" s="360" t="s">
        <v>48</v>
      </c>
      <c r="AR3" s="363"/>
      <c r="AS3" s="363"/>
      <c r="AT3" s="369" t="s">
        <v>49</v>
      </c>
      <c r="AU3" s="360" t="s">
        <v>50</v>
      </c>
      <c r="AV3" s="360" t="s">
        <v>51</v>
      </c>
      <c r="AW3" s="360" t="s">
        <v>52</v>
      </c>
      <c r="AX3" s="366"/>
      <c r="AY3" s="363"/>
      <c r="AZ3" s="363"/>
      <c r="BA3" s="363"/>
      <c r="BB3" s="363"/>
      <c r="BC3" s="363"/>
      <c r="BD3" s="363"/>
      <c r="BE3" s="363"/>
      <c r="BF3" s="363"/>
      <c r="BG3" s="363"/>
      <c r="BH3" s="363"/>
    </row>
    <row r="4" spans="1:60" s="69" customFormat="1" ht="32.25" customHeight="1">
      <c r="A4" s="337"/>
      <c r="B4" s="337"/>
      <c r="C4" s="337"/>
      <c r="D4" s="337"/>
      <c r="E4" s="337"/>
      <c r="F4" s="337"/>
      <c r="G4" s="337"/>
      <c r="H4" s="337"/>
      <c r="I4" s="361"/>
      <c r="J4" s="194" t="s">
        <v>40</v>
      </c>
      <c r="K4" s="194" t="s">
        <v>53</v>
      </c>
      <c r="L4" s="194" t="s">
        <v>54</v>
      </c>
      <c r="M4" s="194" t="s">
        <v>55</v>
      </c>
      <c r="N4" s="194" t="s">
        <v>56</v>
      </c>
      <c r="O4" s="194" t="s">
        <v>57</v>
      </c>
      <c r="P4" s="361"/>
      <c r="Q4" s="194" t="s">
        <v>58</v>
      </c>
      <c r="R4" s="194" t="s">
        <v>59</v>
      </c>
      <c r="S4" s="361"/>
      <c r="T4" s="361"/>
      <c r="U4" s="194" t="s">
        <v>40</v>
      </c>
      <c r="V4" s="194" t="s">
        <v>53</v>
      </c>
      <c r="W4" s="194" t="s">
        <v>54</v>
      </c>
      <c r="X4" s="194" t="s">
        <v>55</v>
      </c>
      <c r="Y4" s="194" t="s">
        <v>56</v>
      </c>
      <c r="Z4" s="194" t="s">
        <v>57</v>
      </c>
      <c r="AA4" s="194" t="s">
        <v>40</v>
      </c>
      <c r="AB4" s="194" t="s">
        <v>53</v>
      </c>
      <c r="AC4" s="194" t="s">
        <v>54</v>
      </c>
      <c r="AD4" s="194" t="s">
        <v>55</v>
      </c>
      <c r="AE4" s="361"/>
      <c r="AF4" s="361"/>
      <c r="AG4" s="361"/>
      <c r="AH4" s="361"/>
      <c r="AI4" s="361"/>
      <c r="AJ4" s="361"/>
      <c r="AK4" s="361"/>
      <c r="AL4" s="361"/>
      <c r="AM4" s="361"/>
      <c r="AN4" s="361"/>
      <c r="AO4" s="361"/>
      <c r="AP4" s="361"/>
      <c r="AQ4" s="361"/>
      <c r="AR4" s="361"/>
      <c r="AS4" s="361"/>
      <c r="AT4" s="361"/>
      <c r="AU4" s="361"/>
      <c r="AV4" s="361"/>
      <c r="AW4" s="194" t="s">
        <v>60</v>
      </c>
      <c r="AX4" s="194" t="s">
        <v>61</v>
      </c>
      <c r="AY4" s="361"/>
      <c r="AZ4" s="361"/>
      <c r="BA4" s="361"/>
      <c r="BB4" s="361"/>
      <c r="BC4" s="361"/>
      <c r="BD4" s="361"/>
      <c r="BE4" s="361"/>
      <c r="BF4" s="361"/>
      <c r="BG4" s="361"/>
      <c r="BH4" s="361"/>
    </row>
    <row r="5" spans="1:60" s="69" customFormat="1" ht="23.25" customHeight="1">
      <c r="A5" s="265"/>
      <c r="B5" s="98"/>
      <c r="C5" s="99"/>
      <c r="D5" s="99"/>
      <c r="E5" s="99">
        <f>SUBTOTAL(3,정비구역명)</f>
        <v>542</v>
      </c>
      <c r="F5" s="100"/>
      <c r="G5" s="101">
        <f>SUBTOTAL(9,G6:G547)</f>
        <v>29968642.32</v>
      </c>
      <c r="H5" s="102"/>
      <c r="I5" s="103">
        <f t="shared" ref="I5:AE5" si="0">SUBTOTAL(9,I6:I547)</f>
        <v>64887</v>
      </c>
      <c r="J5" s="103">
        <f t="shared" si="0"/>
        <v>439572</v>
      </c>
      <c r="K5" s="103">
        <f t="shared" si="0"/>
        <v>126009</v>
      </c>
      <c r="L5" s="103">
        <f t="shared" si="0"/>
        <v>132363</v>
      </c>
      <c r="M5" s="103">
        <f t="shared" si="0"/>
        <v>104867</v>
      </c>
      <c r="N5" s="103">
        <f t="shared" si="0"/>
        <v>30695</v>
      </c>
      <c r="O5" s="103">
        <f t="shared" si="0"/>
        <v>10027</v>
      </c>
      <c r="P5" s="101">
        <f t="shared" si="0"/>
        <v>364547</v>
      </c>
      <c r="Q5" s="101">
        <f t="shared" si="0"/>
        <v>200935</v>
      </c>
      <c r="R5" s="101">
        <f t="shared" si="0"/>
        <v>116868</v>
      </c>
      <c r="S5" s="101">
        <f t="shared" si="0"/>
        <v>27805</v>
      </c>
      <c r="T5" s="103">
        <f t="shared" si="0"/>
        <v>390361</v>
      </c>
      <c r="U5" s="103">
        <f t="shared" si="0"/>
        <v>360856</v>
      </c>
      <c r="V5" s="103">
        <f t="shared" si="0"/>
        <v>4614</v>
      </c>
      <c r="W5" s="103">
        <f t="shared" si="0"/>
        <v>115203</v>
      </c>
      <c r="X5" s="103">
        <f t="shared" si="0"/>
        <v>153118</v>
      </c>
      <c r="Y5" s="103">
        <f t="shared" si="0"/>
        <v>34683</v>
      </c>
      <c r="Z5" s="103">
        <f t="shared" si="0"/>
        <v>5072</v>
      </c>
      <c r="AA5" s="103">
        <f t="shared" si="0"/>
        <v>28535</v>
      </c>
      <c r="AB5" s="103">
        <f t="shared" si="0"/>
        <v>13127</v>
      </c>
      <c r="AC5" s="103">
        <f t="shared" si="0"/>
        <v>10553</v>
      </c>
      <c r="AD5" s="103">
        <f t="shared" si="0"/>
        <v>1162</v>
      </c>
      <c r="AE5" s="103">
        <f t="shared" si="0"/>
        <v>-47741</v>
      </c>
      <c r="AF5" s="104"/>
      <c r="AG5" s="104"/>
      <c r="AH5" s="105">
        <f>SUBTOTAL(9,AH6:AH547)</f>
        <v>307007</v>
      </c>
      <c r="AI5" s="105">
        <f>SUBTOTAL(9,AI6:AI547)</f>
        <v>174592</v>
      </c>
      <c r="AJ5" s="62"/>
      <c r="AK5" s="62"/>
      <c r="AL5" s="62"/>
      <c r="AM5" s="63"/>
      <c r="AN5" s="63"/>
      <c r="AO5" s="64"/>
      <c r="AP5" s="106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7"/>
    </row>
    <row r="6" spans="1:60" s="61" customFormat="1" ht="20.100000000000001" customHeight="1">
      <c r="A6" s="195">
        <v>1</v>
      </c>
      <c r="B6" s="196" t="s">
        <v>71</v>
      </c>
      <c r="C6" s="65" t="s">
        <v>72</v>
      </c>
      <c r="D6" s="65" t="s">
        <v>73</v>
      </c>
      <c r="E6" s="65" t="s">
        <v>74</v>
      </c>
      <c r="F6" s="65" t="s">
        <v>75</v>
      </c>
      <c r="G6" s="110">
        <v>10494</v>
      </c>
      <c r="H6" s="196">
        <v>1983</v>
      </c>
      <c r="I6" s="110">
        <v>9</v>
      </c>
      <c r="J6" s="110">
        <v>230</v>
      </c>
      <c r="K6" s="110"/>
      <c r="L6" s="110">
        <v>134</v>
      </c>
      <c r="M6" s="110">
        <v>60</v>
      </c>
      <c r="N6" s="110">
        <v>36</v>
      </c>
      <c r="O6" s="110"/>
      <c r="P6" s="197"/>
      <c r="Q6" s="197"/>
      <c r="R6" s="197"/>
      <c r="S6" s="197"/>
      <c r="T6" s="197">
        <f t="shared" ref="T6:T12" si="1">U6+AA6</f>
        <v>0</v>
      </c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>
        <f t="shared" ref="AE6:AE61" si="2">T6-J6</f>
        <v>-230</v>
      </c>
      <c r="AF6" s="198">
        <v>1.718</v>
      </c>
      <c r="AG6" s="198"/>
      <c r="AH6" s="199"/>
      <c r="AI6" s="199"/>
      <c r="AJ6" s="196"/>
      <c r="AK6" s="196">
        <v>2024</v>
      </c>
      <c r="AL6" s="196"/>
      <c r="AM6" s="200">
        <v>41178</v>
      </c>
      <c r="AN6" s="200">
        <v>45657</v>
      </c>
      <c r="AO6" s="107"/>
      <c r="AP6" s="107"/>
      <c r="AQ6" s="107"/>
      <c r="AR6" s="107"/>
      <c r="AS6" s="107"/>
      <c r="AT6" s="107"/>
      <c r="AU6" s="108">
        <v>44015</v>
      </c>
      <c r="AV6" s="107" t="s">
        <v>76</v>
      </c>
      <c r="AW6" s="196" t="s">
        <v>70</v>
      </c>
      <c r="AX6" s="108"/>
      <c r="AY6" s="107"/>
      <c r="AZ6" s="107"/>
      <c r="BA6" s="107"/>
      <c r="BB6" s="107"/>
      <c r="BC6" s="107"/>
      <c r="BD6" s="107"/>
      <c r="BE6" s="107"/>
      <c r="BF6" s="107"/>
      <c r="BG6" s="321"/>
      <c r="BH6" s="83" t="s">
        <v>1512</v>
      </c>
    </row>
    <row r="7" spans="1:60" s="61" customFormat="1" ht="20.100000000000001" customHeight="1">
      <c r="A7" s="195">
        <v>2</v>
      </c>
      <c r="B7" s="196" t="s">
        <v>71</v>
      </c>
      <c r="C7" s="65" t="s">
        <v>72</v>
      </c>
      <c r="D7" s="65" t="s">
        <v>73</v>
      </c>
      <c r="E7" s="65" t="s">
        <v>77</v>
      </c>
      <c r="F7" s="65" t="s">
        <v>78</v>
      </c>
      <c r="G7" s="110">
        <v>82433</v>
      </c>
      <c r="H7" s="196">
        <v>1988</v>
      </c>
      <c r="I7" s="110">
        <v>25</v>
      </c>
      <c r="J7" s="110">
        <v>1484</v>
      </c>
      <c r="K7" s="110"/>
      <c r="L7" s="110">
        <v>500</v>
      </c>
      <c r="M7" s="110">
        <v>864</v>
      </c>
      <c r="N7" s="110">
        <v>120</v>
      </c>
      <c r="O7" s="110"/>
      <c r="P7" s="197"/>
      <c r="Q7" s="197"/>
      <c r="R7" s="197"/>
      <c r="S7" s="197"/>
      <c r="T7" s="197">
        <f t="shared" si="1"/>
        <v>0</v>
      </c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>
        <f t="shared" si="2"/>
        <v>-1484</v>
      </c>
      <c r="AF7" s="198">
        <v>1.234</v>
      </c>
      <c r="AG7" s="198"/>
      <c r="AH7" s="199"/>
      <c r="AI7" s="199"/>
      <c r="AJ7" s="196"/>
      <c r="AK7" s="196">
        <v>2023</v>
      </c>
      <c r="AL7" s="196"/>
      <c r="AM7" s="200">
        <v>43528</v>
      </c>
      <c r="AN7" s="200">
        <v>45657</v>
      </c>
      <c r="AO7" s="107">
        <v>45989</v>
      </c>
      <c r="AP7" s="107">
        <v>45989</v>
      </c>
      <c r="AQ7" s="107"/>
      <c r="AR7" s="107"/>
      <c r="AS7" s="107"/>
      <c r="AT7" s="107"/>
      <c r="AU7" s="107">
        <v>45140</v>
      </c>
      <c r="AV7" s="107" t="s">
        <v>79</v>
      </c>
      <c r="AW7" s="196" t="s">
        <v>70</v>
      </c>
      <c r="AX7" s="107"/>
      <c r="AY7" s="107"/>
      <c r="AZ7" s="107"/>
      <c r="BA7" s="107"/>
      <c r="BB7" s="107"/>
      <c r="BC7" s="107"/>
      <c r="BD7" s="107"/>
      <c r="BE7" s="107"/>
      <c r="BF7" s="107"/>
      <c r="BG7" s="321"/>
      <c r="BH7" s="83" t="s">
        <v>1513</v>
      </c>
    </row>
    <row r="8" spans="1:60" s="61" customFormat="1" ht="20.100000000000001" customHeight="1">
      <c r="A8" s="195">
        <v>3</v>
      </c>
      <c r="B8" s="196" t="s">
        <v>71</v>
      </c>
      <c r="C8" s="65" t="s">
        <v>72</v>
      </c>
      <c r="D8" s="65" t="s">
        <v>73</v>
      </c>
      <c r="E8" s="65" t="s">
        <v>80</v>
      </c>
      <c r="F8" s="65" t="s">
        <v>81</v>
      </c>
      <c r="G8" s="110">
        <v>15305</v>
      </c>
      <c r="H8" s="196">
        <v>1988</v>
      </c>
      <c r="I8" s="110">
        <v>21</v>
      </c>
      <c r="J8" s="110">
        <v>353</v>
      </c>
      <c r="K8" s="110"/>
      <c r="L8" s="110">
        <v>273</v>
      </c>
      <c r="M8" s="110">
        <v>80</v>
      </c>
      <c r="N8" s="110"/>
      <c r="O8" s="110"/>
      <c r="P8" s="197"/>
      <c r="Q8" s="197"/>
      <c r="R8" s="197"/>
      <c r="S8" s="197"/>
      <c r="T8" s="197">
        <f t="shared" si="1"/>
        <v>0</v>
      </c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>
        <f t="shared" si="2"/>
        <v>-353</v>
      </c>
      <c r="AF8" s="198">
        <v>1.258</v>
      </c>
      <c r="AG8" s="198"/>
      <c r="AH8" s="199"/>
      <c r="AI8" s="199"/>
      <c r="AJ8" s="196"/>
      <c r="AK8" s="196">
        <v>2024</v>
      </c>
      <c r="AL8" s="196"/>
      <c r="AM8" s="200">
        <v>43528</v>
      </c>
      <c r="AN8" s="200">
        <v>45657</v>
      </c>
      <c r="AO8" s="107">
        <v>45988</v>
      </c>
      <c r="AP8" s="107">
        <v>45988</v>
      </c>
      <c r="AQ8" s="107"/>
      <c r="AR8" s="107"/>
      <c r="AS8" s="107"/>
      <c r="AT8" s="107"/>
      <c r="AU8" s="107">
        <v>45442</v>
      </c>
      <c r="AV8" s="107" t="s">
        <v>82</v>
      </c>
      <c r="AW8" s="196" t="s">
        <v>70</v>
      </c>
      <c r="AX8" s="107"/>
      <c r="AY8" s="107"/>
      <c r="AZ8" s="107"/>
      <c r="BA8" s="107"/>
      <c r="BB8" s="107"/>
      <c r="BC8" s="107"/>
      <c r="BD8" s="107"/>
      <c r="BE8" s="107"/>
      <c r="BF8" s="107"/>
      <c r="BG8" s="321"/>
      <c r="BH8" s="83" t="s">
        <v>1514</v>
      </c>
    </row>
    <row r="9" spans="1:60" s="61" customFormat="1" ht="20.100000000000001" customHeight="1">
      <c r="A9" s="195">
        <v>4</v>
      </c>
      <c r="B9" s="196" t="s">
        <v>71</v>
      </c>
      <c r="C9" s="65" t="s">
        <v>72</v>
      </c>
      <c r="D9" s="65" t="s">
        <v>73</v>
      </c>
      <c r="E9" s="65" t="s">
        <v>83</v>
      </c>
      <c r="F9" s="65" t="s">
        <v>84</v>
      </c>
      <c r="G9" s="110">
        <v>28654</v>
      </c>
      <c r="H9" s="196">
        <v>1989</v>
      </c>
      <c r="I9" s="110">
        <v>11</v>
      </c>
      <c r="J9" s="110">
        <v>600</v>
      </c>
      <c r="K9" s="110"/>
      <c r="L9" s="110">
        <v>208</v>
      </c>
      <c r="M9" s="110">
        <v>320</v>
      </c>
      <c r="N9" s="110">
        <v>72</v>
      </c>
      <c r="O9" s="110"/>
      <c r="P9" s="197"/>
      <c r="Q9" s="197"/>
      <c r="R9" s="197"/>
      <c r="S9" s="197"/>
      <c r="T9" s="197">
        <f t="shared" si="1"/>
        <v>0</v>
      </c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>
        <f t="shared" si="2"/>
        <v>-600</v>
      </c>
      <c r="AF9" s="198">
        <v>1.2290000000000001</v>
      </c>
      <c r="AG9" s="198"/>
      <c r="AH9" s="199"/>
      <c r="AI9" s="199"/>
      <c r="AJ9" s="196"/>
      <c r="AK9" s="196">
        <v>2026</v>
      </c>
      <c r="AL9" s="196"/>
      <c r="AM9" s="200">
        <v>43528</v>
      </c>
      <c r="AN9" s="200">
        <v>46387</v>
      </c>
      <c r="AO9" s="107"/>
      <c r="AP9" s="107"/>
      <c r="AQ9" s="107"/>
      <c r="AR9" s="107"/>
      <c r="AS9" s="107"/>
      <c r="AT9" s="107"/>
      <c r="AU9" s="201"/>
      <c r="AV9" s="201"/>
      <c r="AW9" s="196" t="s">
        <v>70</v>
      </c>
      <c r="AX9" s="107"/>
      <c r="AY9" s="107"/>
      <c r="AZ9" s="107"/>
      <c r="BA9" s="107"/>
      <c r="BB9" s="107"/>
      <c r="BC9" s="107"/>
      <c r="BD9" s="107"/>
      <c r="BE9" s="107"/>
      <c r="BF9" s="107"/>
      <c r="BG9" s="321"/>
      <c r="BH9" s="83" t="s">
        <v>1512</v>
      </c>
    </row>
    <row r="10" spans="1:60" s="61" customFormat="1" ht="20.100000000000001" customHeight="1">
      <c r="A10" s="195">
        <v>5</v>
      </c>
      <c r="B10" s="196" t="s">
        <v>1446</v>
      </c>
      <c r="C10" s="65" t="s">
        <v>72</v>
      </c>
      <c r="D10" s="65" t="s">
        <v>1447</v>
      </c>
      <c r="E10" s="65" t="s">
        <v>86</v>
      </c>
      <c r="F10" s="65" t="s">
        <v>87</v>
      </c>
      <c r="G10" s="110">
        <v>22662</v>
      </c>
      <c r="H10" s="196"/>
      <c r="I10" s="110"/>
      <c r="J10" s="110">
        <v>93</v>
      </c>
      <c r="K10" s="110"/>
      <c r="L10" s="110"/>
      <c r="M10" s="110"/>
      <c r="N10" s="110"/>
      <c r="O10" s="110"/>
      <c r="P10" s="197"/>
      <c r="Q10" s="197"/>
      <c r="R10" s="197"/>
      <c r="S10" s="197"/>
      <c r="T10" s="197">
        <f t="shared" si="1"/>
        <v>0</v>
      </c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>
        <f t="shared" si="2"/>
        <v>-93</v>
      </c>
      <c r="AF10" s="198"/>
      <c r="AG10" s="198">
        <v>5</v>
      </c>
      <c r="AH10" s="199">
        <v>51</v>
      </c>
      <c r="AI10" s="199"/>
      <c r="AJ10" s="196"/>
      <c r="AK10" s="196"/>
      <c r="AL10" s="196"/>
      <c r="AM10" s="200">
        <v>42859</v>
      </c>
      <c r="AN10" s="200">
        <v>43465</v>
      </c>
      <c r="AO10" s="107"/>
      <c r="AP10" s="107"/>
      <c r="AQ10" s="107"/>
      <c r="AR10" s="107"/>
      <c r="AS10" s="107"/>
      <c r="AT10" s="107"/>
      <c r="AU10" s="107"/>
      <c r="AV10" s="107"/>
      <c r="AW10" s="196" t="s">
        <v>70</v>
      </c>
      <c r="AX10" s="107"/>
      <c r="AY10" s="107"/>
      <c r="AZ10" s="107"/>
      <c r="BA10" s="107"/>
      <c r="BB10" s="107"/>
      <c r="BC10" s="107"/>
      <c r="BD10" s="107"/>
      <c r="BE10" s="107"/>
      <c r="BF10" s="107"/>
      <c r="BG10" s="321"/>
      <c r="BH10" s="83" t="s">
        <v>1515</v>
      </c>
    </row>
    <row r="11" spans="1:60" s="61" customFormat="1" ht="20.100000000000001" customHeight="1">
      <c r="A11" s="195">
        <v>6</v>
      </c>
      <c r="B11" s="196" t="s">
        <v>1446</v>
      </c>
      <c r="C11" s="65" t="s">
        <v>88</v>
      </c>
      <c r="D11" s="65" t="s">
        <v>73</v>
      </c>
      <c r="E11" s="65" t="s">
        <v>89</v>
      </c>
      <c r="F11" s="65" t="s">
        <v>90</v>
      </c>
      <c r="G11" s="110">
        <v>48248</v>
      </c>
      <c r="H11" s="196">
        <v>1987</v>
      </c>
      <c r="I11" s="110">
        <v>8</v>
      </c>
      <c r="J11" s="110">
        <v>1320</v>
      </c>
      <c r="K11" s="110"/>
      <c r="L11" s="110">
        <v>810</v>
      </c>
      <c r="M11" s="110">
        <v>390</v>
      </c>
      <c r="N11" s="110">
        <v>120</v>
      </c>
      <c r="O11" s="110"/>
      <c r="P11" s="197"/>
      <c r="Q11" s="197"/>
      <c r="R11" s="197"/>
      <c r="S11" s="197"/>
      <c r="T11" s="197">
        <f t="shared" si="1"/>
        <v>0</v>
      </c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>
        <f t="shared" si="2"/>
        <v>-1320</v>
      </c>
      <c r="AF11" s="198">
        <v>1.72</v>
      </c>
      <c r="AG11" s="198">
        <v>2.5</v>
      </c>
      <c r="AH11" s="199">
        <v>1320</v>
      </c>
      <c r="AI11" s="199"/>
      <c r="AJ11" s="196"/>
      <c r="AK11" s="196">
        <v>2023</v>
      </c>
      <c r="AL11" s="196"/>
      <c r="AM11" s="200">
        <v>41178</v>
      </c>
      <c r="AN11" s="200">
        <v>45657</v>
      </c>
      <c r="AO11" s="107">
        <v>45968</v>
      </c>
      <c r="AP11" s="107">
        <v>45968</v>
      </c>
      <c r="AQ11" s="107"/>
      <c r="AR11" s="107">
        <v>45980</v>
      </c>
      <c r="AS11" s="107"/>
      <c r="AT11" s="107"/>
      <c r="AU11" s="107">
        <v>45140</v>
      </c>
      <c r="AV11" s="107" t="s">
        <v>82</v>
      </c>
      <c r="AW11" s="196" t="s">
        <v>70</v>
      </c>
      <c r="AX11" s="107"/>
      <c r="AY11" s="107"/>
      <c r="AZ11" s="107"/>
      <c r="BA11" s="107"/>
      <c r="BB11" s="107"/>
      <c r="BC11" s="107"/>
      <c r="BD11" s="107"/>
      <c r="BE11" s="107"/>
      <c r="BF11" s="107"/>
      <c r="BG11" s="321"/>
      <c r="BH11" s="83" t="s">
        <v>1513</v>
      </c>
    </row>
    <row r="12" spans="1:60" s="61" customFormat="1" ht="20.100000000000001" customHeight="1">
      <c r="A12" s="195">
        <v>7</v>
      </c>
      <c r="B12" s="196" t="s">
        <v>71</v>
      </c>
      <c r="C12" s="65" t="s">
        <v>88</v>
      </c>
      <c r="D12" s="65" t="s">
        <v>73</v>
      </c>
      <c r="E12" s="65" t="s">
        <v>1448</v>
      </c>
      <c r="F12" s="65" t="s">
        <v>91</v>
      </c>
      <c r="G12" s="110">
        <v>10737</v>
      </c>
      <c r="H12" s="196">
        <v>1978</v>
      </c>
      <c r="I12" s="110">
        <v>3</v>
      </c>
      <c r="J12" s="110">
        <v>220</v>
      </c>
      <c r="K12" s="110"/>
      <c r="L12" s="110">
        <v>22</v>
      </c>
      <c r="M12" s="110">
        <v>132</v>
      </c>
      <c r="N12" s="110">
        <v>66</v>
      </c>
      <c r="O12" s="110"/>
      <c r="P12" s="197"/>
      <c r="Q12" s="197"/>
      <c r="R12" s="197"/>
      <c r="S12" s="197"/>
      <c r="T12" s="197">
        <f t="shared" si="1"/>
        <v>0</v>
      </c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>
        <f t="shared" si="2"/>
        <v>-220</v>
      </c>
      <c r="AF12" s="198">
        <v>1.6970000000000001</v>
      </c>
      <c r="AG12" s="198"/>
      <c r="AH12" s="199"/>
      <c r="AI12" s="199"/>
      <c r="AJ12" s="196"/>
      <c r="AK12" s="196">
        <v>2023</v>
      </c>
      <c r="AL12" s="196"/>
      <c r="AM12" s="200">
        <v>43528</v>
      </c>
      <c r="AN12" s="200">
        <v>45657</v>
      </c>
      <c r="AO12" s="107">
        <v>45968</v>
      </c>
      <c r="AP12" s="107">
        <v>45968</v>
      </c>
      <c r="AQ12" s="107"/>
      <c r="AR12" s="107">
        <v>45980</v>
      </c>
      <c r="AS12" s="107"/>
      <c r="AT12" s="107"/>
      <c r="AU12" s="108">
        <v>45173</v>
      </c>
      <c r="AV12" s="107" t="s">
        <v>79</v>
      </c>
      <c r="AW12" s="196" t="s">
        <v>70</v>
      </c>
      <c r="AX12" s="108"/>
      <c r="AY12" s="107"/>
      <c r="AZ12" s="107"/>
      <c r="BA12" s="107"/>
      <c r="BB12" s="107"/>
      <c r="BC12" s="107"/>
      <c r="BD12" s="107"/>
      <c r="BE12" s="107"/>
      <c r="BF12" s="107"/>
      <c r="BG12" s="321"/>
      <c r="BH12" s="83" t="s">
        <v>1514</v>
      </c>
    </row>
    <row r="13" spans="1:60" s="77" customFormat="1" ht="20.100000000000001" customHeight="1">
      <c r="A13" s="195">
        <v>8</v>
      </c>
      <c r="B13" s="196" t="s">
        <v>71</v>
      </c>
      <c r="C13" s="65" t="s">
        <v>88</v>
      </c>
      <c r="D13" s="65" t="s">
        <v>1449</v>
      </c>
      <c r="E13" s="65" t="s">
        <v>1507</v>
      </c>
      <c r="F13" s="65" t="s">
        <v>1450</v>
      </c>
      <c r="G13" s="110">
        <v>36480</v>
      </c>
      <c r="H13" s="196">
        <v>1993</v>
      </c>
      <c r="I13" s="110">
        <v>14</v>
      </c>
      <c r="J13" s="110">
        <v>595</v>
      </c>
      <c r="K13" s="110"/>
      <c r="L13" s="110"/>
      <c r="M13" s="110"/>
      <c r="N13" s="110">
        <v>595</v>
      </c>
      <c r="O13" s="110"/>
      <c r="P13" s="197"/>
      <c r="Q13" s="197"/>
      <c r="R13" s="197"/>
      <c r="S13" s="197"/>
      <c r="T13" s="197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>
        <f t="shared" si="2"/>
        <v>-595</v>
      </c>
      <c r="AF13" s="198">
        <v>1.26</v>
      </c>
      <c r="AG13" s="198"/>
      <c r="AH13" s="199">
        <v>606</v>
      </c>
      <c r="AI13" s="199"/>
      <c r="AJ13" s="196"/>
      <c r="AK13" s="196"/>
      <c r="AL13" s="196"/>
      <c r="AM13" s="200"/>
      <c r="AN13" s="202"/>
      <c r="AO13" s="107"/>
      <c r="AP13" s="107"/>
      <c r="AQ13" s="107"/>
      <c r="AR13" s="107">
        <v>46114</v>
      </c>
      <c r="AS13" s="107"/>
      <c r="AT13" s="107"/>
      <c r="AU13" s="108"/>
      <c r="AV13" s="107"/>
      <c r="AW13" s="196"/>
      <c r="AX13" s="108"/>
      <c r="AY13" s="107"/>
      <c r="AZ13" s="107"/>
      <c r="BA13" s="107"/>
      <c r="BB13" s="107"/>
      <c r="BC13" s="107"/>
      <c r="BD13" s="107"/>
      <c r="BE13" s="107"/>
      <c r="BF13" s="107"/>
      <c r="BG13" s="321"/>
      <c r="BH13" s="83" t="s">
        <v>1512</v>
      </c>
    </row>
    <row r="14" spans="1:60" s="77" customFormat="1" ht="20.100000000000001" customHeight="1">
      <c r="A14" s="195">
        <v>9</v>
      </c>
      <c r="B14" s="196" t="s">
        <v>71</v>
      </c>
      <c r="C14" s="65" t="s">
        <v>88</v>
      </c>
      <c r="D14" s="65" t="s">
        <v>1449</v>
      </c>
      <c r="E14" s="65" t="s">
        <v>1451</v>
      </c>
      <c r="F14" s="65" t="s">
        <v>1452</v>
      </c>
      <c r="G14" s="110">
        <v>33226</v>
      </c>
      <c r="H14" s="196">
        <v>1989</v>
      </c>
      <c r="I14" s="110">
        <v>11</v>
      </c>
      <c r="J14" s="110">
        <v>740</v>
      </c>
      <c r="K14" s="110"/>
      <c r="L14" s="110"/>
      <c r="M14" s="110">
        <v>320</v>
      </c>
      <c r="N14" s="110">
        <v>380</v>
      </c>
      <c r="O14" s="110">
        <v>40</v>
      </c>
      <c r="P14" s="197"/>
      <c r="Q14" s="197"/>
      <c r="R14" s="197"/>
      <c r="S14" s="197"/>
      <c r="T14" s="197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>
        <f t="shared" si="2"/>
        <v>-740</v>
      </c>
      <c r="AF14" s="198">
        <v>1.92</v>
      </c>
      <c r="AG14" s="198"/>
      <c r="AH14" s="199">
        <v>758</v>
      </c>
      <c r="AI14" s="199"/>
      <c r="AJ14" s="196"/>
      <c r="AK14" s="196"/>
      <c r="AL14" s="196"/>
      <c r="AM14" s="200"/>
      <c r="AN14" s="200"/>
      <c r="AO14" s="107"/>
      <c r="AP14" s="107"/>
      <c r="AQ14" s="107"/>
      <c r="AR14" s="107">
        <v>46105</v>
      </c>
      <c r="AS14" s="107"/>
      <c r="AT14" s="107"/>
      <c r="AU14" s="108"/>
      <c r="AV14" s="107"/>
      <c r="AW14" s="196"/>
      <c r="AX14" s="108"/>
      <c r="AY14" s="107"/>
      <c r="AZ14" s="107"/>
      <c r="BA14" s="107"/>
      <c r="BB14" s="107"/>
      <c r="BC14" s="107"/>
      <c r="BD14" s="107"/>
      <c r="BE14" s="107"/>
      <c r="BF14" s="107"/>
      <c r="BG14" s="321"/>
      <c r="BH14" s="83" t="s">
        <v>1514</v>
      </c>
    </row>
    <row r="15" spans="1:60" s="189" customFormat="1" ht="20.100000000000001" customHeight="1">
      <c r="A15" s="195">
        <v>10</v>
      </c>
      <c r="B15" s="196" t="s">
        <v>71</v>
      </c>
      <c r="C15" s="65" t="s">
        <v>88</v>
      </c>
      <c r="D15" s="65" t="s">
        <v>1453</v>
      </c>
      <c r="E15" s="65" t="s">
        <v>1454</v>
      </c>
      <c r="F15" s="65" t="s">
        <v>1455</v>
      </c>
      <c r="G15" s="110">
        <v>32294</v>
      </c>
      <c r="H15" s="196">
        <v>1992</v>
      </c>
      <c r="I15" s="110">
        <v>7</v>
      </c>
      <c r="J15" s="110">
        <v>850</v>
      </c>
      <c r="K15" s="110"/>
      <c r="L15" s="110">
        <v>140</v>
      </c>
      <c r="M15" s="110">
        <v>710</v>
      </c>
      <c r="N15" s="110"/>
      <c r="O15" s="110"/>
      <c r="P15" s="197"/>
      <c r="Q15" s="197"/>
      <c r="R15" s="197"/>
      <c r="S15" s="197"/>
      <c r="T15" s="197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98">
        <v>1.73</v>
      </c>
      <c r="AG15" s="198"/>
      <c r="AH15" s="199">
        <v>859</v>
      </c>
      <c r="AI15" s="199"/>
      <c r="AJ15" s="196"/>
      <c r="AK15" s="196">
        <v>2026</v>
      </c>
      <c r="AL15" s="196"/>
      <c r="AM15" s="200"/>
      <c r="AN15" s="200"/>
      <c r="AO15" s="107"/>
      <c r="AP15" s="107"/>
      <c r="AQ15" s="107"/>
      <c r="AR15" s="108">
        <v>46171</v>
      </c>
      <c r="AS15" s="107"/>
      <c r="AT15" s="107"/>
      <c r="AU15" s="107"/>
      <c r="AV15" s="107"/>
      <c r="AW15" s="107"/>
      <c r="AX15" s="107"/>
      <c r="AY15" s="107"/>
      <c r="AZ15" s="107"/>
      <c r="BA15" s="107"/>
      <c r="BB15" s="236"/>
      <c r="BC15" s="236"/>
      <c r="BD15" s="236"/>
      <c r="BE15" s="236"/>
      <c r="BF15" s="236"/>
      <c r="BG15" s="322"/>
      <c r="BH15" s="83" t="s">
        <v>1512</v>
      </c>
    </row>
    <row r="16" spans="1:60" s="189" customFormat="1" ht="20.100000000000001" customHeight="1">
      <c r="A16" s="195">
        <v>11</v>
      </c>
      <c r="B16" s="196" t="s">
        <v>71</v>
      </c>
      <c r="C16" s="65" t="s">
        <v>88</v>
      </c>
      <c r="D16" s="65" t="s">
        <v>1453</v>
      </c>
      <c r="E16" s="65" t="s">
        <v>1506</v>
      </c>
      <c r="F16" s="65" t="s">
        <v>1458</v>
      </c>
      <c r="G16" s="110">
        <v>29612</v>
      </c>
      <c r="H16" s="196">
        <v>1992</v>
      </c>
      <c r="I16" s="110">
        <v>12</v>
      </c>
      <c r="J16" s="110">
        <v>496</v>
      </c>
      <c r="K16" s="110"/>
      <c r="L16" s="110"/>
      <c r="M16" s="110">
        <v>496</v>
      </c>
      <c r="N16" s="110"/>
      <c r="O16" s="110"/>
      <c r="P16" s="197"/>
      <c r="Q16" s="197"/>
      <c r="R16" s="197"/>
      <c r="S16" s="197"/>
      <c r="T16" s="197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>
        <v>-496</v>
      </c>
      <c r="AF16" s="198">
        <v>1.1499999999999999</v>
      </c>
      <c r="AG16" s="198">
        <v>2.5</v>
      </c>
      <c r="AH16" s="199">
        <v>524</v>
      </c>
      <c r="AI16" s="199"/>
      <c r="AJ16" s="196" t="s">
        <v>1442</v>
      </c>
      <c r="AK16" s="196"/>
      <c r="AL16" s="196"/>
      <c r="AM16" s="200"/>
      <c r="AN16" s="200"/>
      <c r="AO16" s="107"/>
      <c r="AP16" s="107"/>
      <c r="AQ16" s="107"/>
      <c r="AR16" s="108">
        <v>46148</v>
      </c>
      <c r="AS16" s="107"/>
      <c r="AT16" s="107"/>
      <c r="AU16" s="107"/>
      <c r="AV16" s="107"/>
      <c r="AW16" s="107"/>
      <c r="AX16" s="107"/>
      <c r="AY16" s="107"/>
      <c r="AZ16" s="107"/>
      <c r="BA16" s="107"/>
      <c r="BB16" s="236"/>
      <c r="BC16" s="236"/>
      <c r="BD16" s="236"/>
      <c r="BE16" s="236"/>
      <c r="BF16" s="236"/>
      <c r="BG16" s="322"/>
      <c r="BH16" s="83" t="s">
        <v>1516</v>
      </c>
    </row>
    <row r="17" spans="1:60" s="77" customFormat="1" ht="20.100000000000001" customHeight="1">
      <c r="A17" s="195">
        <v>12</v>
      </c>
      <c r="B17" s="196" t="s">
        <v>1456</v>
      </c>
      <c r="C17" s="65" t="s">
        <v>1457</v>
      </c>
      <c r="D17" s="65" t="s">
        <v>1453</v>
      </c>
      <c r="E17" s="65" t="s">
        <v>1459</v>
      </c>
      <c r="F17" s="65" t="s">
        <v>1460</v>
      </c>
      <c r="G17" s="110">
        <v>25485.5</v>
      </c>
      <c r="H17" s="196">
        <v>1993</v>
      </c>
      <c r="I17" s="110">
        <v>9</v>
      </c>
      <c r="J17" s="110">
        <v>634</v>
      </c>
      <c r="K17" s="110"/>
      <c r="L17" s="110">
        <v>634</v>
      </c>
      <c r="M17" s="110"/>
      <c r="N17" s="110"/>
      <c r="O17" s="110"/>
      <c r="P17" s="197"/>
      <c r="Q17" s="197"/>
      <c r="R17" s="197"/>
      <c r="S17" s="197"/>
      <c r="T17" s="197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>
        <v>-634</v>
      </c>
      <c r="AF17" s="198">
        <v>1.89</v>
      </c>
      <c r="AG17" s="198"/>
      <c r="AH17" s="199">
        <v>633</v>
      </c>
      <c r="AI17" s="199"/>
      <c r="AJ17" s="196" t="s">
        <v>1442</v>
      </c>
      <c r="AK17" s="196">
        <v>2026</v>
      </c>
      <c r="AL17" s="196"/>
      <c r="AM17" s="200"/>
      <c r="AN17" s="200"/>
      <c r="AO17" s="107"/>
      <c r="AP17" s="107"/>
      <c r="AQ17" s="107"/>
      <c r="AR17" s="108">
        <v>46121</v>
      </c>
      <c r="AS17" s="107"/>
      <c r="AT17" s="107"/>
      <c r="AU17" s="107"/>
      <c r="AV17" s="107"/>
      <c r="AW17" s="107"/>
      <c r="AX17" s="107"/>
      <c r="AY17" s="107"/>
      <c r="AZ17" s="107"/>
      <c r="BA17" s="107"/>
      <c r="BB17" s="236"/>
      <c r="BC17" s="236"/>
      <c r="BD17" s="236"/>
      <c r="BE17" s="236"/>
      <c r="BF17" s="236"/>
      <c r="BG17" s="322"/>
      <c r="BH17" s="83" t="s">
        <v>1513</v>
      </c>
    </row>
    <row r="18" spans="1:60" s="185" customFormat="1" ht="20.100000000000001" customHeight="1">
      <c r="A18" s="195">
        <v>13</v>
      </c>
      <c r="B18" s="196" t="s">
        <v>1446</v>
      </c>
      <c r="C18" s="65" t="s">
        <v>88</v>
      </c>
      <c r="D18" s="65" t="s">
        <v>1447</v>
      </c>
      <c r="E18" s="65" t="s">
        <v>1461</v>
      </c>
      <c r="F18" s="65" t="s">
        <v>1462</v>
      </c>
      <c r="G18" s="110">
        <v>59939</v>
      </c>
      <c r="H18" s="196"/>
      <c r="I18" s="110"/>
      <c r="J18" s="110"/>
      <c r="K18" s="110"/>
      <c r="L18" s="110"/>
      <c r="M18" s="110"/>
      <c r="N18" s="110"/>
      <c r="O18" s="110"/>
      <c r="P18" s="197"/>
      <c r="Q18" s="197"/>
      <c r="R18" s="197"/>
      <c r="S18" s="197"/>
      <c r="T18" s="197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>
        <f t="shared" si="2"/>
        <v>0</v>
      </c>
      <c r="AF18" s="198"/>
      <c r="AG18" s="198"/>
      <c r="AH18" s="199">
        <v>699</v>
      </c>
      <c r="AI18" s="199"/>
      <c r="AJ18" s="65" t="s">
        <v>1444</v>
      </c>
      <c r="AK18" s="196"/>
      <c r="AL18" s="196"/>
      <c r="AM18" s="200"/>
      <c r="AN18" s="107"/>
      <c r="AO18" s="107"/>
      <c r="AP18" s="107"/>
      <c r="AQ18" s="107"/>
      <c r="AR18" s="107">
        <v>46112</v>
      </c>
      <c r="AS18" s="107"/>
      <c r="AT18" s="107"/>
      <c r="AU18" s="107"/>
      <c r="AV18" s="203"/>
      <c r="AW18" s="204"/>
      <c r="AX18" s="107"/>
      <c r="AY18" s="107"/>
      <c r="AZ18" s="107"/>
      <c r="BA18" s="108"/>
      <c r="BB18" s="107"/>
      <c r="BC18" s="107"/>
      <c r="BD18" s="107"/>
      <c r="BE18" s="107"/>
      <c r="BF18" s="107"/>
      <c r="BG18" s="321"/>
      <c r="BH18" s="83" t="s">
        <v>1517</v>
      </c>
    </row>
    <row r="19" spans="1:60" s="185" customFormat="1" ht="20.100000000000001" customHeight="1">
      <c r="A19" s="195">
        <v>14</v>
      </c>
      <c r="B19" s="196" t="s">
        <v>1446</v>
      </c>
      <c r="C19" s="65" t="s">
        <v>88</v>
      </c>
      <c r="D19" s="65" t="s">
        <v>1447</v>
      </c>
      <c r="E19" s="65" t="s">
        <v>1463</v>
      </c>
      <c r="F19" s="65" t="s">
        <v>1464</v>
      </c>
      <c r="G19" s="110">
        <v>97145</v>
      </c>
      <c r="H19" s="196"/>
      <c r="I19" s="110"/>
      <c r="J19" s="110"/>
      <c r="K19" s="110"/>
      <c r="L19" s="110"/>
      <c r="M19" s="110"/>
      <c r="N19" s="110"/>
      <c r="O19" s="110"/>
      <c r="P19" s="197"/>
      <c r="Q19" s="197"/>
      <c r="R19" s="197"/>
      <c r="S19" s="197"/>
      <c r="T19" s="197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>
        <v>0</v>
      </c>
      <c r="AF19" s="198"/>
      <c r="AG19" s="198"/>
      <c r="AH19" s="199">
        <v>1016</v>
      </c>
      <c r="AI19" s="199"/>
      <c r="AJ19" s="65" t="s">
        <v>1444</v>
      </c>
      <c r="AK19" s="196"/>
      <c r="AL19" s="196"/>
      <c r="AM19" s="200"/>
      <c r="AN19" s="107"/>
      <c r="AO19" s="107"/>
      <c r="AP19" s="107"/>
      <c r="AQ19" s="107"/>
      <c r="AR19" s="107">
        <v>46122</v>
      </c>
      <c r="AS19" s="107"/>
      <c r="AT19" s="107"/>
      <c r="AU19" s="108"/>
      <c r="AV19" s="107"/>
      <c r="AW19" s="107"/>
      <c r="AX19" s="107"/>
      <c r="AY19" s="107"/>
      <c r="AZ19" s="107"/>
      <c r="BA19" s="107"/>
      <c r="BB19" s="236" t="s">
        <v>1465</v>
      </c>
      <c r="BC19" s="236" t="s">
        <v>1465</v>
      </c>
      <c r="BD19" s="236" t="s">
        <v>1465</v>
      </c>
      <c r="BE19" s="236" t="s">
        <v>1465</v>
      </c>
      <c r="BF19" s="236" t="s">
        <v>1465</v>
      </c>
      <c r="BG19" s="322" t="s">
        <v>1465</v>
      </c>
      <c r="BH19" s="83" t="s">
        <v>1518</v>
      </c>
    </row>
    <row r="20" spans="1:60" s="185" customFormat="1" ht="20.100000000000001" customHeight="1">
      <c r="A20" s="195">
        <v>15</v>
      </c>
      <c r="B20" s="196" t="s">
        <v>1446</v>
      </c>
      <c r="C20" s="65" t="s">
        <v>88</v>
      </c>
      <c r="D20" s="65" t="s">
        <v>1447</v>
      </c>
      <c r="E20" s="65" t="s">
        <v>1466</v>
      </c>
      <c r="F20" s="65" t="s">
        <v>1467</v>
      </c>
      <c r="G20" s="110">
        <v>63479</v>
      </c>
      <c r="H20" s="196"/>
      <c r="I20" s="110"/>
      <c r="J20" s="110"/>
      <c r="K20" s="110"/>
      <c r="L20" s="110"/>
      <c r="M20" s="110"/>
      <c r="N20" s="110"/>
      <c r="O20" s="110"/>
      <c r="P20" s="197"/>
      <c r="Q20" s="197"/>
      <c r="R20" s="197"/>
      <c r="S20" s="197"/>
      <c r="T20" s="197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>
        <v>0</v>
      </c>
      <c r="AF20" s="198"/>
      <c r="AG20" s="198"/>
      <c r="AH20" s="199">
        <v>655</v>
      </c>
      <c r="AI20" s="199"/>
      <c r="AJ20" s="65" t="s">
        <v>1444</v>
      </c>
      <c r="AK20" s="196"/>
      <c r="AL20" s="196"/>
      <c r="AM20" s="200"/>
      <c r="AN20" s="107"/>
      <c r="AO20" s="107"/>
      <c r="AP20" s="107"/>
      <c r="AQ20" s="107"/>
      <c r="AR20" s="107">
        <v>45410</v>
      </c>
      <c r="AS20" s="107"/>
      <c r="AT20" s="107"/>
      <c r="AU20" s="108"/>
      <c r="AV20" s="107"/>
      <c r="AW20" s="107"/>
      <c r="AX20" s="107"/>
      <c r="AY20" s="107"/>
      <c r="AZ20" s="107"/>
      <c r="BA20" s="107"/>
      <c r="BB20" s="236" t="s">
        <v>1465</v>
      </c>
      <c r="BC20" s="236" t="s">
        <v>1465</v>
      </c>
      <c r="BD20" s="236" t="s">
        <v>1465</v>
      </c>
      <c r="BE20" s="236" t="s">
        <v>1465</v>
      </c>
      <c r="BF20" s="236" t="s">
        <v>1465</v>
      </c>
      <c r="BG20" s="322" t="s">
        <v>1465</v>
      </c>
      <c r="BH20" s="83" t="s">
        <v>1518</v>
      </c>
    </row>
    <row r="21" spans="1:60" s="185" customFormat="1" ht="20.100000000000001" customHeight="1">
      <c r="A21" s="195">
        <v>16</v>
      </c>
      <c r="B21" s="196" t="s">
        <v>1446</v>
      </c>
      <c r="C21" s="65" t="s">
        <v>88</v>
      </c>
      <c r="D21" s="65" t="s">
        <v>1447</v>
      </c>
      <c r="E21" s="65" t="s">
        <v>1468</v>
      </c>
      <c r="F21" s="65" t="s">
        <v>1469</v>
      </c>
      <c r="G21" s="110">
        <v>89057</v>
      </c>
      <c r="H21" s="196"/>
      <c r="I21" s="110"/>
      <c r="J21" s="110"/>
      <c r="K21" s="110"/>
      <c r="L21" s="110"/>
      <c r="M21" s="110"/>
      <c r="N21" s="110"/>
      <c r="O21" s="110"/>
      <c r="P21" s="197"/>
      <c r="Q21" s="197"/>
      <c r="R21" s="197"/>
      <c r="S21" s="197"/>
      <c r="T21" s="197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>
        <v>0</v>
      </c>
      <c r="AF21" s="198"/>
      <c r="AG21" s="198"/>
      <c r="AH21" s="199">
        <v>817</v>
      </c>
      <c r="AI21" s="199"/>
      <c r="AJ21" s="65" t="s">
        <v>1444</v>
      </c>
      <c r="AK21" s="196"/>
      <c r="AL21" s="196"/>
      <c r="AM21" s="200"/>
      <c r="AN21" s="107"/>
      <c r="AO21" s="107"/>
      <c r="AP21" s="107"/>
      <c r="AQ21" s="107"/>
      <c r="AR21" s="107">
        <v>46126</v>
      </c>
      <c r="AS21" s="107"/>
      <c r="AT21" s="107"/>
      <c r="AU21" s="108"/>
      <c r="AV21" s="107"/>
      <c r="AW21" s="107"/>
      <c r="AX21" s="107"/>
      <c r="AY21" s="107"/>
      <c r="AZ21" s="107"/>
      <c r="BA21" s="107"/>
      <c r="BB21" s="236" t="s">
        <v>1465</v>
      </c>
      <c r="BC21" s="236" t="s">
        <v>1465</v>
      </c>
      <c r="BD21" s="236" t="s">
        <v>1465</v>
      </c>
      <c r="BE21" s="236" t="s">
        <v>1465</v>
      </c>
      <c r="BF21" s="236" t="s">
        <v>1465</v>
      </c>
      <c r="BG21" s="322" t="s">
        <v>1465</v>
      </c>
      <c r="BH21" s="83" t="s">
        <v>1518</v>
      </c>
    </row>
    <row r="22" spans="1:60" s="185" customFormat="1" ht="20.100000000000001" customHeight="1">
      <c r="A22" s="195">
        <v>17</v>
      </c>
      <c r="B22" s="196" t="s">
        <v>1446</v>
      </c>
      <c r="C22" s="65" t="s">
        <v>88</v>
      </c>
      <c r="D22" s="65" t="s">
        <v>1447</v>
      </c>
      <c r="E22" s="65" t="s">
        <v>1470</v>
      </c>
      <c r="F22" s="65" t="s">
        <v>1471</v>
      </c>
      <c r="G22" s="110">
        <v>97016</v>
      </c>
      <c r="H22" s="196"/>
      <c r="I22" s="110"/>
      <c r="J22" s="110"/>
      <c r="K22" s="110"/>
      <c r="L22" s="110"/>
      <c r="M22" s="110"/>
      <c r="N22" s="110"/>
      <c r="O22" s="110"/>
      <c r="P22" s="197"/>
      <c r="Q22" s="197"/>
      <c r="R22" s="197"/>
      <c r="S22" s="197"/>
      <c r="T22" s="197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>
        <v>0</v>
      </c>
      <c r="AF22" s="198"/>
      <c r="AG22" s="198"/>
      <c r="AH22" s="199">
        <v>597</v>
      </c>
      <c r="AI22" s="199"/>
      <c r="AJ22" s="65" t="s">
        <v>1444</v>
      </c>
      <c r="AK22" s="196"/>
      <c r="AL22" s="196"/>
      <c r="AM22" s="200"/>
      <c r="AN22" s="107"/>
      <c r="AO22" s="107"/>
      <c r="AP22" s="107"/>
      <c r="AQ22" s="107"/>
      <c r="AR22" s="107">
        <v>46122</v>
      </c>
      <c r="AS22" s="107"/>
      <c r="AT22" s="107"/>
      <c r="AU22" s="108"/>
      <c r="AV22" s="107"/>
      <c r="AW22" s="107"/>
      <c r="AX22" s="107"/>
      <c r="AY22" s="107"/>
      <c r="AZ22" s="107"/>
      <c r="BA22" s="107"/>
      <c r="BB22" s="236" t="s">
        <v>1465</v>
      </c>
      <c r="BC22" s="236" t="s">
        <v>1465</v>
      </c>
      <c r="BD22" s="236" t="s">
        <v>1465</v>
      </c>
      <c r="BE22" s="236" t="s">
        <v>1465</v>
      </c>
      <c r="BF22" s="236" t="s">
        <v>1465</v>
      </c>
      <c r="BG22" s="322" t="s">
        <v>1465</v>
      </c>
      <c r="BH22" s="83" t="s">
        <v>1517</v>
      </c>
    </row>
    <row r="23" spans="1:60" s="185" customFormat="1" ht="20.100000000000001" customHeight="1">
      <c r="A23" s="195">
        <v>18</v>
      </c>
      <c r="B23" s="196" t="s">
        <v>1446</v>
      </c>
      <c r="C23" s="65" t="s">
        <v>88</v>
      </c>
      <c r="D23" s="65" t="s">
        <v>1447</v>
      </c>
      <c r="E23" s="65" t="s">
        <v>1472</v>
      </c>
      <c r="F23" s="65" t="s">
        <v>1473</v>
      </c>
      <c r="G23" s="110">
        <v>49815</v>
      </c>
      <c r="H23" s="196"/>
      <c r="I23" s="110"/>
      <c r="J23" s="110"/>
      <c r="K23" s="110"/>
      <c r="L23" s="110"/>
      <c r="M23" s="110"/>
      <c r="N23" s="110"/>
      <c r="O23" s="110"/>
      <c r="P23" s="197"/>
      <c r="Q23" s="197"/>
      <c r="R23" s="197"/>
      <c r="S23" s="197"/>
      <c r="T23" s="197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>
        <v>0</v>
      </c>
      <c r="AF23" s="198"/>
      <c r="AG23" s="198"/>
      <c r="AH23" s="199">
        <v>309</v>
      </c>
      <c r="AI23" s="199"/>
      <c r="AJ23" s="65" t="s">
        <v>1444</v>
      </c>
      <c r="AK23" s="196"/>
      <c r="AL23" s="196"/>
      <c r="AM23" s="200"/>
      <c r="AN23" s="107"/>
      <c r="AO23" s="107"/>
      <c r="AP23" s="107"/>
      <c r="AQ23" s="107"/>
      <c r="AR23" s="107">
        <v>46125</v>
      </c>
      <c r="AS23" s="107"/>
      <c r="AT23" s="107"/>
      <c r="AU23" s="108"/>
      <c r="AV23" s="107"/>
      <c r="AW23" s="107"/>
      <c r="AX23" s="107"/>
      <c r="AY23" s="107"/>
      <c r="AZ23" s="107"/>
      <c r="BA23" s="107"/>
      <c r="BB23" s="236" t="s">
        <v>1465</v>
      </c>
      <c r="BC23" s="236" t="s">
        <v>1465</v>
      </c>
      <c r="BD23" s="236" t="s">
        <v>1465</v>
      </c>
      <c r="BE23" s="236" t="s">
        <v>1465</v>
      </c>
      <c r="BF23" s="236" t="s">
        <v>1465</v>
      </c>
      <c r="BG23" s="322" t="s">
        <v>1465</v>
      </c>
      <c r="BH23" s="83" t="s">
        <v>1517</v>
      </c>
    </row>
    <row r="24" spans="1:60" s="185" customFormat="1" ht="20.100000000000001" customHeight="1">
      <c r="A24" s="195">
        <v>19</v>
      </c>
      <c r="B24" s="196" t="s">
        <v>1446</v>
      </c>
      <c r="C24" s="65" t="s">
        <v>88</v>
      </c>
      <c r="D24" s="65" t="s">
        <v>1447</v>
      </c>
      <c r="E24" s="65" t="s">
        <v>1474</v>
      </c>
      <c r="F24" s="65" t="s">
        <v>1475</v>
      </c>
      <c r="G24" s="110">
        <v>48891</v>
      </c>
      <c r="H24" s="196"/>
      <c r="I24" s="110"/>
      <c r="J24" s="110"/>
      <c r="K24" s="110"/>
      <c r="L24" s="110"/>
      <c r="M24" s="110"/>
      <c r="N24" s="110"/>
      <c r="O24" s="110"/>
      <c r="P24" s="197"/>
      <c r="Q24" s="197"/>
      <c r="R24" s="197"/>
      <c r="S24" s="197"/>
      <c r="T24" s="197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>
        <v>0</v>
      </c>
      <c r="AF24" s="198"/>
      <c r="AG24" s="198"/>
      <c r="AH24" s="199">
        <v>659</v>
      </c>
      <c r="AI24" s="199"/>
      <c r="AJ24" s="65" t="s">
        <v>1444</v>
      </c>
      <c r="AK24" s="196"/>
      <c r="AL24" s="196"/>
      <c r="AM24" s="200"/>
      <c r="AN24" s="107"/>
      <c r="AO24" s="107"/>
      <c r="AP24" s="107"/>
      <c r="AQ24" s="107"/>
      <c r="AR24" s="107">
        <v>46156</v>
      </c>
      <c r="AS24" s="107"/>
      <c r="AT24" s="107"/>
      <c r="AU24" s="108"/>
      <c r="AV24" s="107"/>
      <c r="AW24" s="107"/>
      <c r="AX24" s="107"/>
      <c r="AY24" s="107"/>
      <c r="AZ24" s="107"/>
      <c r="BA24" s="107"/>
      <c r="BB24" s="236" t="s">
        <v>1465</v>
      </c>
      <c r="BC24" s="236" t="s">
        <v>1465</v>
      </c>
      <c r="BD24" s="236" t="s">
        <v>1465</v>
      </c>
      <c r="BE24" s="236" t="s">
        <v>1465</v>
      </c>
      <c r="BF24" s="236" t="s">
        <v>1465</v>
      </c>
      <c r="BG24" s="322" t="s">
        <v>1465</v>
      </c>
      <c r="BH24" s="83" t="s">
        <v>1519</v>
      </c>
    </row>
    <row r="25" spans="1:60" s="185" customFormat="1" ht="20.100000000000001" customHeight="1">
      <c r="A25" s="195">
        <v>20</v>
      </c>
      <c r="B25" s="196" t="s">
        <v>1446</v>
      </c>
      <c r="C25" s="65" t="s">
        <v>88</v>
      </c>
      <c r="D25" s="65" t="s">
        <v>1447</v>
      </c>
      <c r="E25" s="65" t="s">
        <v>1476</v>
      </c>
      <c r="F25" s="65" t="s">
        <v>1477</v>
      </c>
      <c r="G25" s="110">
        <v>54243</v>
      </c>
      <c r="H25" s="196"/>
      <c r="I25" s="110"/>
      <c r="J25" s="110"/>
      <c r="K25" s="110"/>
      <c r="L25" s="110"/>
      <c r="M25" s="110"/>
      <c r="N25" s="110"/>
      <c r="O25" s="110"/>
      <c r="P25" s="197"/>
      <c r="Q25" s="197"/>
      <c r="R25" s="197"/>
      <c r="S25" s="197"/>
      <c r="T25" s="197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>
        <v>0</v>
      </c>
      <c r="AF25" s="198"/>
      <c r="AG25" s="198"/>
      <c r="AH25" s="199">
        <v>561</v>
      </c>
      <c r="AI25" s="199"/>
      <c r="AJ25" s="65" t="s">
        <v>1444</v>
      </c>
      <c r="AK25" s="196"/>
      <c r="AL25" s="196"/>
      <c r="AM25" s="200"/>
      <c r="AN25" s="107"/>
      <c r="AO25" s="107"/>
      <c r="AP25" s="107"/>
      <c r="AQ25" s="107"/>
      <c r="AR25" s="107">
        <v>46164</v>
      </c>
      <c r="AS25" s="107"/>
      <c r="AT25" s="107"/>
      <c r="AU25" s="108"/>
      <c r="AV25" s="107"/>
      <c r="AW25" s="107"/>
      <c r="AX25" s="107"/>
      <c r="AY25" s="107"/>
      <c r="AZ25" s="107"/>
      <c r="BA25" s="107"/>
      <c r="BB25" s="236" t="s">
        <v>1465</v>
      </c>
      <c r="BC25" s="236" t="s">
        <v>1465</v>
      </c>
      <c r="BD25" s="236" t="s">
        <v>1465</v>
      </c>
      <c r="BE25" s="236" t="s">
        <v>1465</v>
      </c>
      <c r="BF25" s="236" t="s">
        <v>1465</v>
      </c>
      <c r="BG25" s="322" t="s">
        <v>1465</v>
      </c>
      <c r="BH25" s="83" t="s">
        <v>1519</v>
      </c>
    </row>
    <row r="26" spans="1:60" s="185" customFormat="1" ht="20.100000000000001" customHeight="1">
      <c r="A26" s="195">
        <v>21</v>
      </c>
      <c r="B26" s="196" t="s">
        <v>1446</v>
      </c>
      <c r="C26" s="65" t="s">
        <v>88</v>
      </c>
      <c r="D26" s="65" t="s">
        <v>1447</v>
      </c>
      <c r="E26" s="65" t="s">
        <v>1478</v>
      </c>
      <c r="F26" s="65" t="s">
        <v>1479</v>
      </c>
      <c r="G26" s="110">
        <v>178205</v>
      </c>
      <c r="H26" s="196"/>
      <c r="I26" s="110"/>
      <c r="J26" s="110"/>
      <c r="K26" s="110"/>
      <c r="L26" s="110"/>
      <c r="M26" s="110"/>
      <c r="N26" s="110"/>
      <c r="O26" s="110"/>
      <c r="P26" s="197"/>
      <c r="Q26" s="197"/>
      <c r="R26" s="197"/>
      <c r="S26" s="197"/>
      <c r="T26" s="197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>
        <v>0</v>
      </c>
      <c r="AF26" s="198"/>
      <c r="AG26" s="198"/>
      <c r="AH26" s="199">
        <v>1614</v>
      </c>
      <c r="AI26" s="199"/>
      <c r="AJ26" s="65" t="s">
        <v>1444</v>
      </c>
      <c r="AK26" s="196"/>
      <c r="AL26" s="196"/>
      <c r="AM26" s="200"/>
      <c r="AN26" s="107"/>
      <c r="AO26" s="107"/>
      <c r="AP26" s="107"/>
      <c r="AQ26" s="107"/>
      <c r="AR26" s="107">
        <v>46128</v>
      </c>
      <c r="AS26" s="107"/>
      <c r="AT26" s="107"/>
      <c r="AU26" s="108"/>
      <c r="AV26" s="107"/>
      <c r="AW26" s="107"/>
      <c r="AX26" s="107"/>
      <c r="AY26" s="107"/>
      <c r="AZ26" s="107"/>
      <c r="BA26" s="107"/>
      <c r="BB26" s="236" t="s">
        <v>1465</v>
      </c>
      <c r="BC26" s="236" t="s">
        <v>1465</v>
      </c>
      <c r="BD26" s="236" t="s">
        <v>1465</v>
      </c>
      <c r="BE26" s="236" t="s">
        <v>1465</v>
      </c>
      <c r="BF26" s="236" t="s">
        <v>1465</v>
      </c>
      <c r="BG26" s="322" t="s">
        <v>1465</v>
      </c>
      <c r="BH26" s="83" t="s">
        <v>1519</v>
      </c>
    </row>
    <row r="27" spans="1:60" s="185" customFormat="1" ht="20.100000000000001" customHeight="1">
      <c r="A27" s="195">
        <v>22</v>
      </c>
      <c r="B27" s="196" t="s">
        <v>1446</v>
      </c>
      <c r="C27" s="65" t="s">
        <v>88</v>
      </c>
      <c r="D27" s="65" t="s">
        <v>1447</v>
      </c>
      <c r="E27" s="65" t="s">
        <v>1480</v>
      </c>
      <c r="F27" s="65" t="s">
        <v>1481</v>
      </c>
      <c r="G27" s="110">
        <v>83878</v>
      </c>
      <c r="H27" s="196"/>
      <c r="I27" s="110"/>
      <c r="J27" s="110"/>
      <c r="K27" s="110"/>
      <c r="L27" s="110"/>
      <c r="M27" s="110"/>
      <c r="N27" s="110"/>
      <c r="O27" s="110"/>
      <c r="P27" s="197"/>
      <c r="Q27" s="197"/>
      <c r="R27" s="197"/>
      <c r="S27" s="197"/>
      <c r="T27" s="197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>
        <v>0</v>
      </c>
      <c r="AF27" s="198"/>
      <c r="AG27" s="198"/>
      <c r="AH27" s="199">
        <v>360</v>
      </c>
      <c r="AI27" s="199"/>
      <c r="AJ27" s="65" t="s">
        <v>1444</v>
      </c>
      <c r="AK27" s="196"/>
      <c r="AL27" s="196"/>
      <c r="AM27" s="200"/>
      <c r="AN27" s="107"/>
      <c r="AO27" s="107"/>
      <c r="AP27" s="107"/>
      <c r="AQ27" s="107"/>
      <c r="AR27" s="107">
        <v>46132</v>
      </c>
      <c r="AS27" s="107"/>
      <c r="AT27" s="107"/>
      <c r="AU27" s="108"/>
      <c r="AV27" s="107"/>
      <c r="AW27" s="107"/>
      <c r="AX27" s="107"/>
      <c r="AY27" s="107"/>
      <c r="AZ27" s="107"/>
      <c r="BA27" s="107"/>
      <c r="BB27" s="236" t="s">
        <v>1465</v>
      </c>
      <c r="BC27" s="236" t="s">
        <v>1465</v>
      </c>
      <c r="BD27" s="236" t="s">
        <v>1465</v>
      </c>
      <c r="BE27" s="236" t="s">
        <v>1465</v>
      </c>
      <c r="BF27" s="236" t="s">
        <v>1465</v>
      </c>
      <c r="BG27" s="322" t="s">
        <v>1465</v>
      </c>
      <c r="BH27" s="83" t="s">
        <v>1519</v>
      </c>
    </row>
    <row r="28" spans="1:60" s="185" customFormat="1" ht="20.100000000000001" customHeight="1">
      <c r="A28" s="195">
        <v>23</v>
      </c>
      <c r="B28" s="196" t="s">
        <v>1446</v>
      </c>
      <c r="C28" s="65" t="s">
        <v>88</v>
      </c>
      <c r="D28" s="65" t="s">
        <v>1447</v>
      </c>
      <c r="E28" s="65" t="s">
        <v>1482</v>
      </c>
      <c r="F28" s="65" t="s">
        <v>1483</v>
      </c>
      <c r="G28" s="110">
        <v>66024</v>
      </c>
      <c r="H28" s="196"/>
      <c r="I28" s="110"/>
      <c r="J28" s="110"/>
      <c r="K28" s="110"/>
      <c r="L28" s="110"/>
      <c r="M28" s="110"/>
      <c r="N28" s="110"/>
      <c r="O28" s="110"/>
      <c r="P28" s="197"/>
      <c r="Q28" s="197"/>
      <c r="R28" s="197"/>
      <c r="S28" s="197"/>
      <c r="T28" s="197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>
        <v>0</v>
      </c>
      <c r="AF28" s="198"/>
      <c r="AG28" s="198"/>
      <c r="AH28" s="199">
        <v>276</v>
      </c>
      <c r="AI28" s="199"/>
      <c r="AJ28" s="65" t="s">
        <v>1444</v>
      </c>
      <c r="AK28" s="196"/>
      <c r="AL28" s="196"/>
      <c r="AM28" s="200"/>
      <c r="AN28" s="107"/>
      <c r="AO28" s="107"/>
      <c r="AP28" s="107"/>
      <c r="AQ28" s="107"/>
      <c r="AR28" s="107">
        <v>46142</v>
      </c>
      <c r="AS28" s="107"/>
      <c r="AT28" s="107"/>
      <c r="AU28" s="108"/>
      <c r="AV28" s="107"/>
      <c r="AW28" s="107"/>
      <c r="AX28" s="107"/>
      <c r="AY28" s="107"/>
      <c r="AZ28" s="107"/>
      <c r="BA28" s="107"/>
      <c r="BB28" s="236" t="s">
        <v>1465</v>
      </c>
      <c r="BC28" s="236" t="s">
        <v>1465</v>
      </c>
      <c r="BD28" s="236" t="s">
        <v>1465</v>
      </c>
      <c r="BE28" s="236" t="s">
        <v>1465</v>
      </c>
      <c r="BF28" s="236" t="s">
        <v>1465</v>
      </c>
      <c r="BG28" s="322" t="s">
        <v>1465</v>
      </c>
      <c r="BH28" s="83" t="s">
        <v>1519</v>
      </c>
    </row>
    <row r="29" spans="1:60" s="77" customFormat="1" ht="20.100000000000001" customHeight="1">
      <c r="A29" s="195">
        <v>24</v>
      </c>
      <c r="B29" s="196" t="s">
        <v>71</v>
      </c>
      <c r="C29" s="65" t="s">
        <v>64</v>
      </c>
      <c r="D29" s="65" t="s">
        <v>73</v>
      </c>
      <c r="E29" s="65" t="s">
        <v>1484</v>
      </c>
      <c r="F29" s="65" t="s">
        <v>93</v>
      </c>
      <c r="G29" s="110">
        <v>67751</v>
      </c>
      <c r="H29" s="196">
        <v>1991</v>
      </c>
      <c r="I29" s="110">
        <v>15</v>
      </c>
      <c r="J29" s="110">
        <v>1687</v>
      </c>
      <c r="K29" s="110"/>
      <c r="L29" s="110">
        <v>307</v>
      </c>
      <c r="M29" s="110">
        <v>1260</v>
      </c>
      <c r="N29" s="110">
        <v>120</v>
      </c>
      <c r="O29" s="110"/>
      <c r="P29" s="197"/>
      <c r="Q29" s="197"/>
      <c r="R29" s="197"/>
      <c r="S29" s="197"/>
      <c r="T29" s="197">
        <f t="shared" ref="T29:T61" si="3">U29+AA29</f>
        <v>0</v>
      </c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>
        <f t="shared" si="2"/>
        <v>-1687</v>
      </c>
      <c r="AF29" s="198">
        <v>2.2799999999999998</v>
      </c>
      <c r="AG29" s="198">
        <v>2.7</v>
      </c>
      <c r="AH29" s="199">
        <v>1710</v>
      </c>
      <c r="AI29" s="199">
        <v>1486</v>
      </c>
      <c r="AJ29" s="196" t="s">
        <v>1444</v>
      </c>
      <c r="AK29" s="196">
        <v>2023</v>
      </c>
      <c r="AL29" s="196"/>
      <c r="AM29" s="200">
        <v>44728</v>
      </c>
      <c r="AN29" s="108">
        <v>45275</v>
      </c>
      <c r="AO29" s="108">
        <v>45275</v>
      </c>
      <c r="AP29" s="107">
        <v>45275</v>
      </c>
      <c r="AQ29" s="107"/>
      <c r="AR29" s="107">
        <v>45407</v>
      </c>
      <c r="AS29" s="107"/>
      <c r="AT29" s="107"/>
      <c r="AU29" s="107">
        <v>44553</v>
      </c>
      <c r="AV29" s="107" t="s">
        <v>79</v>
      </c>
      <c r="AW29" s="196" t="s">
        <v>70</v>
      </c>
      <c r="AX29" s="107"/>
      <c r="AY29" s="107">
        <v>45618</v>
      </c>
      <c r="AZ29" s="107"/>
      <c r="BA29" s="107"/>
      <c r="BB29" s="107"/>
      <c r="BC29" s="107"/>
      <c r="BD29" s="107"/>
      <c r="BE29" s="107"/>
      <c r="BF29" s="107"/>
      <c r="BG29" s="321"/>
      <c r="BH29" s="83" t="s">
        <v>1513</v>
      </c>
    </row>
    <row r="30" spans="1:60" s="186" customFormat="1" ht="20.100000000000001" customHeight="1">
      <c r="A30" s="195">
        <v>25</v>
      </c>
      <c r="B30" s="196" t="s">
        <v>71</v>
      </c>
      <c r="C30" s="65" t="s">
        <v>1485</v>
      </c>
      <c r="D30" s="65" t="s">
        <v>73</v>
      </c>
      <c r="E30" s="65" t="s">
        <v>1486</v>
      </c>
      <c r="F30" s="65" t="s">
        <v>94</v>
      </c>
      <c r="G30" s="110">
        <v>20364.7</v>
      </c>
      <c r="H30" s="196">
        <v>1987</v>
      </c>
      <c r="I30" s="110">
        <v>7</v>
      </c>
      <c r="J30" s="110">
        <v>370</v>
      </c>
      <c r="K30" s="110"/>
      <c r="L30" s="110">
        <v>370</v>
      </c>
      <c r="M30" s="110"/>
      <c r="N30" s="110"/>
      <c r="O30" s="110"/>
      <c r="P30" s="197">
        <f>SUM(Q30:S30)</f>
        <v>430</v>
      </c>
      <c r="Q30" s="197">
        <v>430</v>
      </c>
      <c r="R30" s="197"/>
      <c r="S30" s="197"/>
      <c r="T30" s="197">
        <f t="shared" si="3"/>
        <v>430</v>
      </c>
      <c r="U30" s="110">
        <v>430</v>
      </c>
      <c r="V30" s="110"/>
      <c r="W30" s="110">
        <v>278</v>
      </c>
      <c r="X30" s="110">
        <v>152</v>
      </c>
      <c r="Y30" s="110"/>
      <c r="Z30" s="110"/>
      <c r="AA30" s="110"/>
      <c r="AB30" s="110"/>
      <c r="AC30" s="110"/>
      <c r="AD30" s="110"/>
      <c r="AE30" s="110">
        <f t="shared" si="2"/>
        <v>60</v>
      </c>
      <c r="AF30" s="198">
        <v>1.3751</v>
      </c>
      <c r="AG30" s="198">
        <v>2.2999999999999998</v>
      </c>
      <c r="AH30" s="199">
        <v>370</v>
      </c>
      <c r="AI30" s="199">
        <v>374</v>
      </c>
      <c r="AJ30" s="196" t="s">
        <v>92</v>
      </c>
      <c r="AK30" s="196">
        <v>2016</v>
      </c>
      <c r="AL30" s="196">
        <v>2026</v>
      </c>
      <c r="AM30" s="200">
        <v>41178</v>
      </c>
      <c r="AN30" s="200">
        <v>40329</v>
      </c>
      <c r="AO30" s="107">
        <v>43251</v>
      </c>
      <c r="AP30" s="107">
        <v>43251</v>
      </c>
      <c r="AQ30" s="107">
        <v>44377</v>
      </c>
      <c r="AR30" s="107">
        <v>43510</v>
      </c>
      <c r="AS30" s="107"/>
      <c r="AT30" s="107"/>
      <c r="AU30" s="107">
        <v>42618</v>
      </c>
      <c r="AV30" s="107" t="s">
        <v>82</v>
      </c>
      <c r="AW30" s="196" t="s">
        <v>70</v>
      </c>
      <c r="AX30" s="107"/>
      <c r="AY30" s="108">
        <v>43909</v>
      </c>
      <c r="AZ30" s="107">
        <v>45149</v>
      </c>
      <c r="BA30" s="107"/>
      <c r="BB30" s="107"/>
      <c r="BC30" s="107"/>
      <c r="BD30" s="107"/>
      <c r="BE30" s="107"/>
      <c r="BF30" s="107"/>
      <c r="BG30" s="321"/>
      <c r="BH30" s="83" t="s">
        <v>1512</v>
      </c>
    </row>
    <row r="31" spans="1:60" s="186" customFormat="1" ht="18.75" customHeight="1">
      <c r="A31" s="195">
        <v>26</v>
      </c>
      <c r="B31" s="196" t="s">
        <v>71</v>
      </c>
      <c r="C31" s="65" t="s">
        <v>66</v>
      </c>
      <c r="D31" s="65" t="s">
        <v>73</v>
      </c>
      <c r="E31" s="65" t="s">
        <v>1487</v>
      </c>
      <c r="F31" s="65" t="s">
        <v>95</v>
      </c>
      <c r="G31" s="110">
        <v>58773</v>
      </c>
      <c r="H31" s="196">
        <v>1985</v>
      </c>
      <c r="I31" s="110">
        <v>43</v>
      </c>
      <c r="J31" s="110">
        <f>SUM(K31:O31)</f>
        <v>563</v>
      </c>
      <c r="K31" s="110"/>
      <c r="L31" s="110"/>
      <c r="M31" s="110"/>
      <c r="N31" s="110">
        <v>423</v>
      </c>
      <c r="O31" s="110">
        <v>140</v>
      </c>
      <c r="P31" s="197">
        <f>SUM(Q31:S31)</f>
        <v>1195</v>
      </c>
      <c r="Q31" s="197">
        <v>497</v>
      </c>
      <c r="R31" s="197">
        <v>698</v>
      </c>
      <c r="S31" s="197"/>
      <c r="T31" s="197">
        <f t="shared" si="3"/>
        <v>1195</v>
      </c>
      <c r="U31" s="110">
        <v>1195</v>
      </c>
      <c r="V31" s="110"/>
      <c r="W31" s="110">
        <v>634</v>
      </c>
      <c r="X31" s="110">
        <v>392</v>
      </c>
      <c r="Y31" s="110">
        <v>169</v>
      </c>
      <c r="Z31" s="110"/>
      <c r="AA31" s="110"/>
      <c r="AB31" s="110"/>
      <c r="AC31" s="110"/>
      <c r="AD31" s="110"/>
      <c r="AE31" s="110">
        <f t="shared" si="2"/>
        <v>632</v>
      </c>
      <c r="AF31" s="198">
        <v>1.244</v>
      </c>
      <c r="AG31" s="198">
        <v>2.4984999999999999</v>
      </c>
      <c r="AH31" s="199">
        <v>469</v>
      </c>
      <c r="AI31" s="199">
        <v>459</v>
      </c>
      <c r="AJ31" s="196" t="s">
        <v>92</v>
      </c>
      <c r="AK31" s="196">
        <v>2016</v>
      </c>
      <c r="AL31" s="196">
        <v>2026</v>
      </c>
      <c r="AM31" s="200">
        <v>41178</v>
      </c>
      <c r="AN31" s="107">
        <v>40004</v>
      </c>
      <c r="AO31" s="107">
        <v>42354</v>
      </c>
      <c r="AP31" s="107">
        <v>42354</v>
      </c>
      <c r="AQ31" s="107">
        <v>43892</v>
      </c>
      <c r="AR31" s="107">
        <v>42446</v>
      </c>
      <c r="AS31" s="107">
        <v>41320</v>
      </c>
      <c r="AT31" s="107"/>
      <c r="AU31" s="107">
        <v>41488</v>
      </c>
      <c r="AV31" s="203" t="s">
        <v>70</v>
      </c>
      <c r="AW31" s="204" t="s">
        <v>70</v>
      </c>
      <c r="AX31" s="107"/>
      <c r="AY31" s="107">
        <v>42620</v>
      </c>
      <c r="AZ31" s="107">
        <v>44368</v>
      </c>
      <c r="BA31" s="108">
        <v>45772</v>
      </c>
      <c r="BB31" s="107"/>
      <c r="BC31" s="107"/>
      <c r="BD31" s="107"/>
      <c r="BE31" s="107"/>
      <c r="BF31" s="107"/>
      <c r="BG31" s="321"/>
      <c r="BH31" s="83" t="s">
        <v>1516</v>
      </c>
    </row>
    <row r="32" spans="1:60" s="187" customFormat="1" ht="20.100000000000001" customHeight="1">
      <c r="A32" s="195">
        <v>27</v>
      </c>
      <c r="B32" s="196" t="s">
        <v>71</v>
      </c>
      <c r="C32" s="65" t="s">
        <v>66</v>
      </c>
      <c r="D32" s="65" t="s">
        <v>73</v>
      </c>
      <c r="E32" s="65" t="s">
        <v>1488</v>
      </c>
      <c r="F32" s="65" t="s">
        <v>96</v>
      </c>
      <c r="G32" s="110">
        <v>18331</v>
      </c>
      <c r="H32" s="196">
        <v>1987</v>
      </c>
      <c r="I32" s="110">
        <v>8</v>
      </c>
      <c r="J32" s="110">
        <v>380</v>
      </c>
      <c r="K32" s="110" t="s">
        <v>97</v>
      </c>
      <c r="L32" s="110"/>
      <c r="M32" s="110">
        <v>380</v>
      </c>
      <c r="N32" s="110"/>
      <c r="O32" s="110"/>
      <c r="P32" s="197">
        <f>SUM(Q32:S32)</f>
        <v>440</v>
      </c>
      <c r="Q32" s="197">
        <v>440</v>
      </c>
      <c r="R32" s="197"/>
      <c r="S32" s="197"/>
      <c r="T32" s="197">
        <f t="shared" si="3"/>
        <v>440</v>
      </c>
      <c r="U32" s="110">
        <f>SUM(V32:AD32)</f>
        <v>440</v>
      </c>
      <c r="V32" s="110"/>
      <c r="W32" s="110">
        <v>301</v>
      </c>
      <c r="X32" s="110">
        <v>139</v>
      </c>
      <c r="Y32" s="110"/>
      <c r="Z32" s="110"/>
      <c r="AA32" s="110"/>
      <c r="AB32" s="110"/>
      <c r="AC32" s="110"/>
      <c r="AD32" s="110"/>
      <c r="AE32" s="110">
        <f t="shared" si="2"/>
        <v>60</v>
      </c>
      <c r="AF32" s="198">
        <v>1.3</v>
      </c>
      <c r="AG32" s="198">
        <v>2.2999999999999998</v>
      </c>
      <c r="AH32" s="199">
        <v>380</v>
      </c>
      <c r="AI32" s="199">
        <v>381</v>
      </c>
      <c r="AJ32" s="65" t="s">
        <v>92</v>
      </c>
      <c r="AK32" s="196">
        <v>2016</v>
      </c>
      <c r="AL32" s="196">
        <v>2026</v>
      </c>
      <c r="AM32" s="200">
        <v>41178</v>
      </c>
      <c r="AN32" s="107">
        <v>39997</v>
      </c>
      <c r="AO32" s="107">
        <v>43251</v>
      </c>
      <c r="AP32" s="107">
        <v>43251</v>
      </c>
      <c r="AQ32" s="107">
        <v>44343</v>
      </c>
      <c r="AR32" s="107">
        <v>43339</v>
      </c>
      <c r="AS32" s="107"/>
      <c r="AT32" s="107"/>
      <c r="AU32" s="107">
        <v>42618</v>
      </c>
      <c r="AV32" s="203" t="s">
        <v>82</v>
      </c>
      <c r="AW32" s="204" t="s">
        <v>70</v>
      </c>
      <c r="AX32" s="107"/>
      <c r="AY32" s="107">
        <v>43938</v>
      </c>
      <c r="AZ32" s="107">
        <v>45009</v>
      </c>
      <c r="BA32" s="108">
        <v>45729</v>
      </c>
      <c r="BB32" s="107"/>
      <c r="BC32" s="107"/>
      <c r="BD32" s="107"/>
      <c r="BE32" s="107"/>
      <c r="BF32" s="107"/>
      <c r="BG32" s="321"/>
      <c r="BH32" s="83" t="s">
        <v>1514</v>
      </c>
    </row>
    <row r="33" spans="1:60" s="61" customFormat="1" ht="20.100000000000001" customHeight="1">
      <c r="A33" s="195">
        <v>28</v>
      </c>
      <c r="B33" s="196" t="s">
        <v>71</v>
      </c>
      <c r="C33" s="65" t="s">
        <v>66</v>
      </c>
      <c r="D33" s="65" t="s">
        <v>85</v>
      </c>
      <c r="E33" s="65" t="s">
        <v>1489</v>
      </c>
      <c r="F33" s="65" t="s">
        <v>98</v>
      </c>
      <c r="G33" s="110">
        <v>52200</v>
      </c>
      <c r="H33" s="196" t="s">
        <v>99</v>
      </c>
      <c r="I33" s="110">
        <v>157</v>
      </c>
      <c r="J33" s="110">
        <v>907</v>
      </c>
      <c r="K33" s="110">
        <v>45</v>
      </c>
      <c r="L33" s="110">
        <v>272</v>
      </c>
      <c r="M33" s="110">
        <v>454</v>
      </c>
      <c r="N33" s="110">
        <v>91</v>
      </c>
      <c r="O33" s="110">
        <v>45</v>
      </c>
      <c r="P33" s="197">
        <v>976</v>
      </c>
      <c r="Q33" s="197">
        <v>573</v>
      </c>
      <c r="R33" s="197">
        <v>311</v>
      </c>
      <c r="S33" s="197">
        <v>92</v>
      </c>
      <c r="T33" s="197">
        <f t="shared" si="3"/>
        <v>976</v>
      </c>
      <c r="U33" s="110">
        <v>884</v>
      </c>
      <c r="V33" s="110">
        <v>2</v>
      </c>
      <c r="W33" s="110">
        <v>581</v>
      </c>
      <c r="X33" s="110">
        <v>245</v>
      </c>
      <c r="Y33" s="110">
        <v>56</v>
      </c>
      <c r="Z33" s="110"/>
      <c r="AA33" s="110">
        <f>AB33+AC33+AD33</f>
        <v>92</v>
      </c>
      <c r="AB33" s="110">
        <v>65</v>
      </c>
      <c r="AC33" s="110">
        <v>27</v>
      </c>
      <c r="AD33" s="110"/>
      <c r="AE33" s="110">
        <f t="shared" si="2"/>
        <v>69</v>
      </c>
      <c r="AF33" s="198">
        <v>2</v>
      </c>
      <c r="AG33" s="198">
        <v>2.38</v>
      </c>
      <c r="AH33" s="199">
        <v>519</v>
      </c>
      <c r="AI33" s="199">
        <v>513</v>
      </c>
      <c r="AJ33" s="196" t="s">
        <v>92</v>
      </c>
      <c r="AK33" s="196">
        <v>2012</v>
      </c>
      <c r="AL33" s="196"/>
      <c r="AM33" s="200">
        <v>41178</v>
      </c>
      <c r="AN33" s="107">
        <v>42744</v>
      </c>
      <c r="AO33" s="107">
        <v>42744</v>
      </c>
      <c r="AP33" s="107">
        <v>42744</v>
      </c>
      <c r="AQ33" s="107">
        <v>44582</v>
      </c>
      <c r="AR33" s="107">
        <v>42915</v>
      </c>
      <c r="AS33" s="107"/>
      <c r="AT33" s="107"/>
      <c r="AU33" s="107"/>
      <c r="AV33" s="203" t="s">
        <v>82</v>
      </c>
      <c r="AW33" s="204" t="s">
        <v>70</v>
      </c>
      <c r="AX33" s="107"/>
      <c r="AY33" s="107">
        <v>43109</v>
      </c>
      <c r="AZ33" s="107">
        <v>45176</v>
      </c>
      <c r="BA33" s="107">
        <v>45737</v>
      </c>
      <c r="BB33" s="107"/>
      <c r="BC33" s="107"/>
      <c r="BD33" s="107"/>
      <c r="BE33" s="107"/>
      <c r="BF33" s="107"/>
      <c r="BG33" s="321"/>
      <c r="BH33" s="83" t="s">
        <v>1517</v>
      </c>
    </row>
    <row r="34" spans="1:60" s="186" customFormat="1" ht="20.100000000000001" customHeight="1">
      <c r="A34" s="195">
        <v>29</v>
      </c>
      <c r="B34" s="196" t="s">
        <v>71</v>
      </c>
      <c r="C34" s="65" t="s">
        <v>66</v>
      </c>
      <c r="D34" s="65" t="s">
        <v>73</v>
      </c>
      <c r="E34" s="65" t="s">
        <v>1490</v>
      </c>
      <c r="F34" s="65" t="s">
        <v>101</v>
      </c>
      <c r="G34" s="110">
        <v>222842</v>
      </c>
      <c r="H34" s="196">
        <v>1985</v>
      </c>
      <c r="I34" s="110">
        <v>65</v>
      </c>
      <c r="J34" s="110">
        <f>SUM(K34:O34)</f>
        <v>2440</v>
      </c>
      <c r="K34" s="110"/>
      <c r="L34" s="110">
        <v>1164</v>
      </c>
      <c r="M34" s="110">
        <v>132</v>
      </c>
      <c r="N34" s="110">
        <v>1008</v>
      </c>
      <c r="O34" s="110">
        <v>136</v>
      </c>
      <c r="P34" s="197">
        <v>4002</v>
      </c>
      <c r="Q34" s="197">
        <v>2434</v>
      </c>
      <c r="R34" s="197">
        <v>1568</v>
      </c>
      <c r="S34" s="197"/>
      <c r="T34" s="197">
        <f t="shared" si="3"/>
        <v>3642</v>
      </c>
      <c r="U34" s="110">
        <f>SUM(V34:AD34)</f>
        <v>3642</v>
      </c>
      <c r="V34" s="110"/>
      <c r="W34" s="110">
        <v>150</v>
      </c>
      <c r="X34" s="110">
        <v>2561</v>
      </c>
      <c r="Y34" s="110">
        <v>908</v>
      </c>
      <c r="Z34" s="110">
        <v>23</v>
      </c>
      <c r="AA34" s="110"/>
      <c r="AB34" s="110"/>
      <c r="AC34" s="110"/>
      <c r="AD34" s="110"/>
      <c r="AE34" s="110">
        <f t="shared" si="2"/>
        <v>1202</v>
      </c>
      <c r="AF34" s="205" t="s">
        <v>102</v>
      </c>
      <c r="AG34" s="198">
        <v>2.5996000000000001</v>
      </c>
      <c r="AH34" s="199">
        <v>2420</v>
      </c>
      <c r="AI34" s="199">
        <v>2376</v>
      </c>
      <c r="AJ34" s="196" t="s">
        <v>92</v>
      </c>
      <c r="AK34" s="196">
        <v>2016</v>
      </c>
      <c r="AL34" s="196">
        <v>2025</v>
      </c>
      <c r="AM34" s="200">
        <v>41178</v>
      </c>
      <c r="AN34" s="206">
        <v>39825</v>
      </c>
      <c r="AO34" s="107">
        <v>42369</v>
      </c>
      <c r="AP34" s="107">
        <v>42354</v>
      </c>
      <c r="AQ34" s="107"/>
      <c r="AR34" s="107">
        <v>42674</v>
      </c>
      <c r="AS34" s="107">
        <v>41320</v>
      </c>
      <c r="AT34" s="107"/>
      <c r="AU34" s="107">
        <v>41488</v>
      </c>
      <c r="AV34" s="207" t="s">
        <v>82</v>
      </c>
      <c r="AW34" s="204" t="s">
        <v>70</v>
      </c>
      <c r="AX34" s="107"/>
      <c r="AY34" s="107">
        <v>43020</v>
      </c>
      <c r="AZ34" s="107">
        <v>44319</v>
      </c>
      <c r="BA34" s="107">
        <v>44771</v>
      </c>
      <c r="BB34" s="107"/>
      <c r="BC34" s="107"/>
      <c r="BD34" s="107"/>
      <c r="BE34" s="107"/>
      <c r="BF34" s="107"/>
      <c r="BG34" s="321"/>
      <c r="BH34" s="83" t="s">
        <v>1514</v>
      </c>
    </row>
    <row r="35" spans="1:60" s="186" customFormat="1" ht="20.100000000000001" customHeight="1">
      <c r="A35" s="195">
        <v>30</v>
      </c>
      <c r="B35" s="196" t="s">
        <v>71</v>
      </c>
      <c r="C35" s="65" t="s">
        <v>66</v>
      </c>
      <c r="D35" s="65" t="s">
        <v>73</v>
      </c>
      <c r="E35" s="65" t="s">
        <v>1491</v>
      </c>
      <c r="F35" s="65" t="s">
        <v>103</v>
      </c>
      <c r="G35" s="110">
        <v>44549</v>
      </c>
      <c r="H35" s="196">
        <v>1983</v>
      </c>
      <c r="I35" s="110">
        <v>12</v>
      </c>
      <c r="J35" s="110">
        <f>SUM(K35:O35)</f>
        <v>1185</v>
      </c>
      <c r="K35" s="110"/>
      <c r="L35" s="110">
        <v>423</v>
      </c>
      <c r="M35" s="110">
        <v>546</v>
      </c>
      <c r="N35" s="110">
        <v>216</v>
      </c>
      <c r="O35" s="110"/>
      <c r="P35" s="197">
        <v>1305</v>
      </c>
      <c r="Q35" s="197">
        <v>1008</v>
      </c>
      <c r="R35" s="197">
        <v>297</v>
      </c>
      <c r="S35" s="197"/>
      <c r="T35" s="197">
        <f t="shared" si="3"/>
        <v>1305</v>
      </c>
      <c r="U35" s="110">
        <v>1305</v>
      </c>
      <c r="V35" s="110"/>
      <c r="W35" s="110">
        <v>1077</v>
      </c>
      <c r="X35" s="110">
        <v>228</v>
      </c>
      <c r="Y35" s="110"/>
      <c r="Z35" s="110"/>
      <c r="AA35" s="110"/>
      <c r="AB35" s="110"/>
      <c r="AC35" s="110"/>
      <c r="AD35" s="110"/>
      <c r="AE35" s="110">
        <f t="shared" si="2"/>
        <v>120</v>
      </c>
      <c r="AF35" s="198">
        <v>1.8355999999999999</v>
      </c>
      <c r="AG35" s="198">
        <v>2.4986999999999999</v>
      </c>
      <c r="AH35" s="199">
        <v>1165</v>
      </c>
      <c r="AI35" s="199">
        <v>1004</v>
      </c>
      <c r="AJ35" s="196" t="s">
        <v>92</v>
      </c>
      <c r="AK35" s="196">
        <v>2006</v>
      </c>
      <c r="AL35" s="196">
        <v>2025</v>
      </c>
      <c r="AM35" s="200">
        <v>38974</v>
      </c>
      <c r="AN35" s="107">
        <v>39924</v>
      </c>
      <c r="AO35" s="107">
        <v>41050</v>
      </c>
      <c r="AP35" s="107">
        <v>41201</v>
      </c>
      <c r="AQ35" s="107"/>
      <c r="AR35" s="107">
        <v>40162</v>
      </c>
      <c r="AS35" s="107"/>
      <c r="AT35" s="107"/>
      <c r="AU35" s="107">
        <v>40694</v>
      </c>
      <c r="AV35" s="203" t="s">
        <v>70</v>
      </c>
      <c r="AW35" s="204" t="s">
        <v>70</v>
      </c>
      <c r="AX35" s="107"/>
      <c r="AY35" s="107">
        <v>42690</v>
      </c>
      <c r="AZ35" s="108">
        <v>44050</v>
      </c>
      <c r="BA35" s="107">
        <v>45140</v>
      </c>
      <c r="BB35" s="107"/>
      <c r="BC35" s="107"/>
      <c r="BD35" s="107"/>
      <c r="BE35" s="107"/>
      <c r="BF35" s="107"/>
      <c r="BG35" s="321"/>
      <c r="BH35" s="83" t="s">
        <v>1512</v>
      </c>
    </row>
    <row r="36" spans="1:60" s="186" customFormat="1" ht="20.100000000000001" customHeight="1">
      <c r="A36" s="190">
        <v>31</v>
      </c>
      <c r="B36" s="193" t="s">
        <v>71</v>
      </c>
      <c r="C36" s="192" t="s">
        <v>66</v>
      </c>
      <c r="D36" s="192" t="s">
        <v>85</v>
      </c>
      <c r="E36" s="192" t="s">
        <v>1492</v>
      </c>
      <c r="F36" s="192" t="s">
        <v>1493</v>
      </c>
      <c r="G36" s="266">
        <v>63233</v>
      </c>
      <c r="H36" s="193" t="s">
        <v>104</v>
      </c>
      <c r="I36" s="266">
        <v>231</v>
      </c>
      <c r="J36" s="267">
        <v>980</v>
      </c>
      <c r="K36" s="266">
        <v>29</v>
      </c>
      <c r="L36" s="266">
        <v>120</v>
      </c>
      <c r="M36" s="266">
        <v>177</v>
      </c>
      <c r="N36" s="266">
        <v>96</v>
      </c>
      <c r="O36" s="266">
        <v>121</v>
      </c>
      <c r="P36" s="268">
        <v>1170</v>
      </c>
      <c r="Q36" s="268">
        <v>636</v>
      </c>
      <c r="R36" s="268">
        <v>450</v>
      </c>
      <c r="S36" s="268">
        <v>84</v>
      </c>
      <c r="T36" s="268">
        <f t="shared" si="3"/>
        <v>1170</v>
      </c>
      <c r="U36" s="266">
        <v>1086</v>
      </c>
      <c r="V36" s="266"/>
      <c r="W36" s="266">
        <v>459</v>
      </c>
      <c r="X36" s="266">
        <v>597</v>
      </c>
      <c r="Y36" s="266">
        <v>30</v>
      </c>
      <c r="Z36" s="266"/>
      <c r="AA36" s="266">
        <v>84</v>
      </c>
      <c r="AB36" s="266">
        <v>36</v>
      </c>
      <c r="AC36" s="266">
        <v>48</v>
      </c>
      <c r="AD36" s="266"/>
      <c r="AE36" s="266">
        <f t="shared" si="2"/>
        <v>190</v>
      </c>
      <c r="AF36" s="269">
        <v>2</v>
      </c>
      <c r="AG36" s="269">
        <v>2.2599999999999998</v>
      </c>
      <c r="AH36" s="270">
        <v>580</v>
      </c>
      <c r="AI36" s="270">
        <v>541</v>
      </c>
      <c r="AJ36" s="193" t="s">
        <v>1444</v>
      </c>
      <c r="AK36" s="193">
        <v>2006</v>
      </c>
      <c r="AL36" s="193"/>
      <c r="AM36" s="271">
        <v>38974</v>
      </c>
      <c r="AN36" s="272">
        <v>39885</v>
      </c>
      <c r="AO36" s="272">
        <v>39885</v>
      </c>
      <c r="AP36" s="272">
        <v>39885</v>
      </c>
      <c r="AQ36" s="272">
        <v>42977</v>
      </c>
      <c r="AR36" s="272">
        <v>39029</v>
      </c>
      <c r="AS36" s="272"/>
      <c r="AT36" s="272"/>
      <c r="AU36" s="272"/>
      <c r="AV36" s="273" t="s">
        <v>82</v>
      </c>
      <c r="AW36" s="274" t="s">
        <v>70</v>
      </c>
      <c r="AX36" s="272"/>
      <c r="AY36" s="275">
        <v>39979</v>
      </c>
      <c r="AZ36" s="272">
        <v>40794</v>
      </c>
      <c r="BA36" s="275">
        <v>45079</v>
      </c>
      <c r="BB36" s="272"/>
      <c r="BC36" s="272"/>
      <c r="BD36" s="272"/>
      <c r="BE36" s="272"/>
      <c r="BF36" s="272"/>
      <c r="BG36" s="323"/>
      <c r="BH36" s="285" t="s">
        <v>1519</v>
      </c>
    </row>
    <row r="37" spans="1:60" s="186" customFormat="1" ht="20.100000000000001" customHeight="1">
      <c r="A37" s="190">
        <v>32</v>
      </c>
      <c r="B37" s="193" t="s">
        <v>71</v>
      </c>
      <c r="C37" s="192" t="s">
        <v>67</v>
      </c>
      <c r="D37" s="192" t="s">
        <v>85</v>
      </c>
      <c r="E37" s="192" t="s">
        <v>1494</v>
      </c>
      <c r="F37" s="192" t="s">
        <v>106</v>
      </c>
      <c r="G37" s="266">
        <v>28863</v>
      </c>
      <c r="H37" s="193" t="s">
        <v>107</v>
      </c>
      <c r="I37" s="266">
        <v>108</v>
      </c>
      <c r="J37" s="267">
        <v>395</v>
      </c>
      <c r="K37" s="266">
        <v>18</v>
      </c>
      <c r="L37" s="266">
        <v>107</v>
      </c>
      <c r="M37" s="266">
        <v>176</v>
      </c>
      <c r="N37" s="266">
        <v>36</v>
      </c>
      <c r="O37" s="266">
        <v>18</v>
      </c>
      <c r="P37" s="268">
        <v>556</v>
      </c>
      <c r="Q37" s="268">
        <v>219</v>
      </c>
      <c r="R37" s="268">
        <v>275</v>
      </c>
      <c r="S37" s="268">
        <v>62</v>
      </c>
      <c r="T37" s="268">
        <f t="shared" si="3"/>
        <v>556</v>
      </c>
      <c r="U37" s="266">
        <v>494</v>
      </c>
      <c r="V37" s="266"/>
      <c r="W37" s="266">
        <v>327</v>
      </c>
      <c r="X37" s="266">
        <v>167</v>
      </c>
      <c r="Y37" s="266"/>
      <c r="Z37" s="266"/>
      <c r="AA37" s="266">
        <v>62</v>
      </c>
      <c r="AB37" s="266">
        <v>62</v>
      </c>
      <c r="AC37" s="266"/>
      <c r="AD37" s="266"/>
      <c r="AE37" s="266">
        <f t="shared" si="2"/>
        <v>161</v>
      </c>
      <c r="AF37" s="269">
        <v>2</v>
      </c>
      <c r="AG37" s="269">
        <v>2</v>
      </c>
      <c r="AH37" s="270">
        <v>217</v>
      </c>
      <c r="AI37" s="270">
        <v>185</v>
      </c>
      <c r="AJ37" s="193" t="s">
        <v>92</v>
      </c>
      <c r="AK37" s="193" t="s">
        <v>108</v>
      </c>
      <c r="AL37" s="193"/>
      <c r="AM37" s="271">
        <v>38974</v>
      </c>
      <c r="AN37" s="272">
        <v>39997</v>
      </c>
      <c r="AO37" s="272">
        <v>39997</v>
      </c>
      <c r="AP37" s="272">
        <v>39997</v>
      </c>
      <c r="AQ37" s="272">
        <v>40821</v>
      </c>
      <c r="AR37" s="272">
        <v>39029</v>
      </c>
      <c r="AS37" s="272"/>
      <c r="AT37" s="272"/>
      <c r="AU37" s="272"/>
      <c r="AV37" s="277" t="s">
        <v>70</v>
      </c>
      <c r="AW37" s="274" t="s">
        <v>70</v>
      </c>
      <c r="AX37" s="272"/>
      <c r="AY37" s="272">
        <v>40114</v>
      </c>
      <c r="AZ37" s="275">
        <v>44280</v>
      </c>
      <c r="BA37" s="272">
        <v>45055</v>
      </c>
      <c r="BB37" s="272">
        <v>45945</v>
      </c>
      <c r="BC37" s="272"/>
      <c r="BD37" s="272"/>
      <c r="BE37" s="272"/>
      <c r="BF37" s="272"/>
      <c r="BG37" s="323"/>
      <c r="BH37" s="285" t="s">
        <v>1518</v>
      </c>
    </row>
    <row r="38" spans="1:60" s="61" customFormat="1" ht="20.100000000000001" customHeight="1">
      <c r="A38" s="190">
        <v>33</v>
      </c>
      <c r="B38" s="193" t="s">
        <v>71</v>
      </c>
      <c r="C38" s="192" t="s">
        <v>67</v>
      </c>
      <c r="D38" s="192" t="s">
        <v>85</v>
      </c>
      <c r="E38" s="192" t="s">
        <v>109</v>
      </c>
      <c r="F38" s="192" t="s">
        <v>110</v>
      </c>
      <c r="G38" s="266">
        <v>83207</v>
      </c>
      <c r="H38" s="193" t="s">
        <v>111</v>
      </c>
      <c r="I38" s="266">
        <v>369</v>
      </c>
      <c r="J38" s="266">
        <v>1018</v>
      </c>
      <c r="K38" s="266">
        <v>51</v>
      </c>
      <c r="L38" s="266">
        <v>305</v>
      </c>
      <c r="M38" s="266">
        <v>509</v>
      </c>
      <c r="N38" s="266">
        <v>102</v>
      </c>
      <c r="O38" s="266">
        <v>51</v>
      </c>
      <c r="P38" s="268">
        <v>1154</v>
      </c>
      <c r="Q38" s="268">
        <v>502</v>
      </c>
      <c r="R38" s="268">
        <v>593</v>
      </c>
      <c r="S38" s="268">
        <v>59</v>
      </c>
      <c r="T38" s="268">
        <f t="shared" si="3"/>
        <v>1154</v>
      </c>
      <c r="U38" s="266">
        <v>1095</v>
      </c>
      <c r="V38" s="266"/>
      <c r="W38" s="266">
        <v>193</v>
      </c>
      <c r="X38" s="266">
        <v>762</v>
      </c>
      <c r="Y38" s="266">
        <v>109</v>
      </c>
      <c r="Z38" s="266">
        <v>31</v>
      </c>
      <c r="AA38" s="266">
        <v>59</v>
      </c>
      <c r="AB38" s="266">
        <v>59</v>
      </c>
      <c r="AC38" s="266"/>
      <c r="AD38" s="266"/>
      <c r="AE38" s="266">
        <f t="shared" si="2"/>
        <v>136</v>
      </c>
      <c r="AF38" s="269">
        <v>2</v>
      </c>
      <c r="AG38" s="269">
        <v>1.9476</v>
      </c>
      <c r="AH38" s="270">
        <v>574</v>
      </c>
      <c r="AI38" s="270">
        <v>337</v>
      </c>
      <c r="AJ38" s="193" t="s">
        <v>92</v>
      </c>
      <c r="AK38" s="193" t="s">
        <v>108</v>
      </c>
      <c r="AL38" s="193"/>
      <c r="AM38" s="271">
        <v>38974</v>
      </c>
      <c r="AN38" s="271">
        <v>40329</v>
      </c>
      <c r="AO38" s="271">
        <v>40329</v>
      </c>
      <c r="AP38" s="272">
        <v>40330</v>
      </c>
      <c r="AQ38" s="272">
        <v>43469</v>
      </c>
      <c r="AR38" s="272">
        <v>39079</v>
      </c>
      <c r="AS38" s="272"/>
      <c r="AT38" s="272"/>
      <c r="AU38" s="272"/>
      <c r="AV38" s="277" t="s">
        <v>70</v>
      </c>
      <c r="AW38" s="274" t="s">
        <v>70</v>
      </c>
      <c r="AX38" s="272"/>
      <c r="AY38" s="272">
        <v>40626</v>
      </c>
      <c r="AZ38" s="272">
        <v>42803</v>
      </c>
      <c r="BA38" s="272">
        <v>43271</v>
      </c>
      <c r="BB38" s="272">
        <v>44953</v>
      </c>
      <c r="BC38" s="272">
        <v>44959</v>
      </c>
      <c r="BD38" s="272"/>
      <c r="BE38" s="272"/>
      <c r="BF38" s="272"/>
      <c r="BG38" s="323"/>
      <c r="BH38" s="285" t="s">
        <v>1519</v>
      </c>
    </row>
    <row r="39" spans="1:60" s="186" customFormat="1" ht="20.100000000000001" customHeight="1">
      <c r="A39" s="190">
        <v>34</v>
      </c>
      <c r="B39" s="193" t="s">
        <v>71</v>
      </c>
      <c r="C39" s="192" t="s">
        <v>67</v>
      </c>
      <c r="D39" s="192" t="s">
        <v>85</v>
      </c>
      <c r="E39" s="192" t="s">
        <v>1495</v>
      </c>
      <c r="F39" s="192" t="s">
        <v>1496</v>
      </c>
      <c r="G39" s="266">
        <v>126336</v>
      </c>
      <c r="H39" s="193" t="s">
        <v>104</v>
      </c>
      <c r="I39" s="266">
        <v>494</v>
      </c>
      <c r="J39" s="267">
        <v>1819</v>
      </c>
      <c r="K39" s="266">
        <v>69</v>
      </c>
      <c r="L39" s="266">
        <v>413</v>
      </c>
      <c r="M39" s="266">
        <v>689</v>
      </c>
      <c r="N39" s="266">
        <v>138</v>
      </c>
      <c r="O39" s="266">
        <v>69</v>
      </c>
      <c r="P39" s="268">
        <v>2178</v>
      </c>
      <c r="Q39" s="268">
        <v>791</v>
      </c>
      <c r="R39" s="268">
        <v>1231</v>
      </c>
      <c r="S39" s="268">
        <v>156</v>
      </c>
      <c r="T39" s="268">
        <f t="shared" si="3"/>
        <v>2178</v>
      </c>
      <c r="U39" s="266">
        <v>2022</v>
      </c>
      <c r="V39" s="266"/>
      <c r="W39" s="266">
        <v>619</v>
      </c>
      <c r="X39" s="266">
        <v>1319</v>
      </c>
      <c r="Y39" s="266">
        <v>84</v>
      </c>
      <c r="Z39" s="266">
        <v>0</v>
      </c>
      <c r="AA39" s="266">
        <v>156</v>
      </c>
      <c r="AB39" s="266">
        <v>156</v>
      </c>
      <c r="AC39" s="266"/>
      <c r="AD39" s="266"/>
      <c r="AE39" s="266">
        <f t="shared" si="2"/>
        <v>359</v>
      </c>
      <c r="AF39" s="269">
        <v>2</v>
      </c>
      <c r="AG39" s="269">
        <v>2.29</v>
      </c>
      <c r="AH39" s="270">
        <v>983</v>
      </c>
      <c r="AI39" s="270">
        <v>709</v>
      </c>
      <c r="AJ39" s="193" t="s">
        <v>92</v>
      </c>
      <c r="AK39" s="193" t="s">
        <v>108</v>
      </c>
      <c r="AL39" s="193"/>
      <c r="AM39" s="271">
        <v>38974</v>
      </c>
      <c r="AN39" s="278">
        <v>39825</v>
      </c>
      <c r="AO39" s="278">
        <v>39825</v>
      </c>
      <c r="AP39" s="272">
        <v>39825</v>
      </c>
      <c r="AQ39" s="272">
        <v>42607</v>
      </c>
      <c r="AR39" s="272">
        <v>39104</v>
      </c>
      <c r="AS39" s="272"/>
      <c r="AT39" s="272"/>
      <c r="AU39" s="272"/>
      <c r="AV39" s="277" t="s">
        <v>70</v>
      </c>
      <c r="AW39" s="274" t="s">
        <v>70</v>
      </c>
      <c r="AX39" s="272"/>
      <c r="AY39" s="272">
        <v>40050</v>
      </c>
      <c r="AZ39" s="272">
        <v>41078</v>
      </c>
      <c r="BA39" s="272">
        <v>43259</v>
      </c>
      <c r="BB39" s="275">
        <v>45266</v>
      </c>
      <c r="BC39" s="275">
        <v>45273</v>
      </c>
      <c r="BD39" s="272"/>
      <c r="BE39" s="272"/>
      <c r="BF39" s="272"/>
      <c r="BG39" s="323"/>
      <c r="BH39" s="285" t="s">
        <v>1517</v>
      </c>
    </row>
    <row r="40" spans="1:60" s="61" customFormat="1" ht="20.100000000000001" customHeight="1">
      <c r="A40" s="190">
        <v>35</v>
      </c>
      <c r="B40" s="193" t="s">
        <v>71</v>
      </c>
      <c r="C40" s="192" t="s">
        <v>67</v>
      </c>
      <c r="D40" s="192" t="s">
        <v>1497</v>
      </c>
      <c r="E40" s="192" t="s">
        <v>1498</v>
      </c>
      <c r="F40" s="192" t="s">
        <v>113</v>
      </c>
      <c r="G40" s="266">
        <v>153215</v>
      </c>
      <c r="H40" s="193" t="s">
        <v>114</v>
      </c>
      <c r="I40" s="266">
        <v>363</v>
      </c>
      <c r="J40" s="266">
        <f>SUM(K40:O40)</f>
        <v>916</v>
      </c>
      <c r="K40" s="266">
        <v>916</v>
      </c>
      <c r="L40" s="279" t="s">
        <v>115</v>
      </c>
      <c r="M40" s="266"/>
      <c r="N40" s="266"/>
      <c r="O40" s="266"/>
      <c r="P40" s="268"/>
      <c r="Q40" s="268"/>
      <c r="R40" s="268"/>
      <c r="S40" s="268"/>
      <c r="T40" s="268">
        <f t="shared" si="3"/>
        <v>0</v>
      </c>
      <c r="U40" s="266"/>
      <c r="V40" s="266" t="s">
        <v>116</v>
      </c>
      <c r="W40" s="266"/>
      <c r="X40" s="266"/>
      <c r="Y40" s="266"/>
      <c r="Z40" s="266"/>
      <c r="AA40" s="266"/>
      <c r="AB40" s="266"/>
      <c r="AC40" s="266"/>
      <c r="AD40" s="266"/>
      <c r="AE40" s="266">
        <f t="shared" si="2"/>
        <v>-916</v>
      </c>
      <c r="AF40" s="269">
        <v>2.5</v>
      </c>
      <c r="AG40" s="269"/>
      <c r="AH40" s="270">
        <v>423</v>
      </c>
      <c r="AI40" s="270"/>
      <c r="AJ40" s="193" t="s">
        <v>117</v>
      </c>
      <c r="AK40" s="193">
        <v>2019</v>
      </c>
      <c r="AL40" s="193">
        <v>2022</v>
      </c>
      <c r="AM40" s="271">
        <v>38974</v>
      </c>
      <c r="AN40" s="271">
        <v>40385</v>
      </c>
      <c r="AO40" s="275"/>
      <c r="AP40" s="272">
        <v>39062</v>
      </c>
      <c r="AQ40" s="272">
        <v>44344</v>
      </c>
      <c r="AR40" s="272"/>
      <c r="AS40" s="272"/>
      <c r="AT40" s="272"/>
      <c r="AU40" s="272"/>
      <c r="AV40" s="277" t="s">
        <v>70</v>
      </c>
      <c r="AW40" s="274" t="s">
        <v>70</v>
      </c>
      <c r="AX40" s="272"/>
      <c r="AY40" s="193"/>
      <c r="AZ40" s="272">
        <v>39391</v>
      </c>
      <c r="BA40" s="272"/>
      <c r="BB40" s="272">
        <v>44518</v>
      </c>
      <c r="BC40" s="272"/>
      <c r="BD40" s="275"/>
      <c r="BE40" s="272"/>
      <c r="BF40" s="272"/>
      <c r="BG40" s="323"/>
      <c r="BH40" s="285" t="s">
        <v>1515</v>
      </c>
    </row>
    <row r="41" spans="1:60" s="61" customFormat="1" ht="20.100000000000001" customHeight="1">
      <c r="A41" s="190">
        <v>36</v>
      </c>
      <c r="B41" s="193" t="s">
        <v>71</v>
      </c>
      <c r="C41" s="192" t="s">
        <v>68</v>
      </c>
      <c r="D41" s="192" t="s">
        <v>85</v>
      </c>
      <c r="E41" s="192" t="s">
        <v>1510</v>
      </c>
      <c r="F41" s="192" t="s">
        <v>118</v>
      </c>
      <c r="G41" s="266">
        <v>138401</v>
      </c>
      <c r="H41" s="193" t="s">
        <v>119</v>
      </c>
      <c r="I41" s="266">
        <v>441</v>
      </c>
      <c r="J41" s="267">
        <v>1660</v>
      </c>
      <c r="K41" s="266">
        <v>70</v>
      </c>
      <c r="L41" s="266">
        <v>422</v>
      </c>
      <c r="M41" s="266">
        <v>703</v>
      </c>
      <c r="N41" s="266">
        <v>141</v>
      </c>
      <c r="O41" s="266">
        <v>70</v>
      </c>
      <c r="P41" s="268">
        <v>2607</v>
      </c>
      <c r="Q41" s="268">
        <v>815</v>
      </c>
      <c r="R41" s="268">
        <v>1608</v>
      </c>
      <c r="S41" s="268">
        <v>184</v>
      </c>
      <c r="T41" s="268">
        <f t="shared" si="3"/>
        <v>2607</v>
      </c>
      <c r="U41" s="266">
        <v>2423</v>
      </c>
      <c r="V41" s="266"/>
      <c r="W41" s="266">
        <v>1323</v>
      </c>
      <c r="X41" s="266">
        <v>992</v>
      </c>
      <c r="Y41" s="266">
        <v>108</v>
      </c>
      <c r="Z41" s="266"/>
      <c r="AA41" s="266">
        <v>184</v>
      </c>
      <c r="AB41" s="266">
        <v>184</v>
      </c>
      <c r="AC41" s="266"/>
      <c r="AD41" s="266"/>
      <c r="AE41" s="266">
        <f t="shared" si="2"/>
        <v>947</v>
      </c>
      <c r="AF41" s="269">
        <v>2</v>
      </c>
      <c r="AG41" s="269">
        <v>2.2999999999999998</v>
      </c>
      <c r="AH41" s="270">
        <v>930</v>
      </c>
      <c r="AI41" s="270">
        <v>744</v>
      </c>
      <c r="AJ41" s="193" t="s">
        <v>92</v>
      </c>
      <c r="AK41" s="193" t="s">
        <v>108</v>
      </c>
      <c r="AL41" s="193">
        <v>2024</v>
      </c>
      <c r="AM41" s="271">
        <v>38974</v>
      </c>
      <c r="AN41" s="272">
        <v>39924</v>
      </c>
      <c r="AO41" s="272">
        <v>39924</v>
      </c>
      <c r="AP41" s="272">
        <v>39924</v>
      </c>
      <c r="AQ41" s="272">
        <v>43699</v>
      </c>
      <c r="AR41" s="272">
        <v>39029</v>
      </c>
      <c r="AS41" s="272"/>
      <c r="AT41" s="272"/>
      <c r="AU41" s="272"/>
      <c r="AV41" s="277" t="s">
        <v>70</v>
      </c>
      <c r="AW41" s="274" t="s">
        <v>70</v>
      </c>
      <c r="AX41" s="272"/>
      <c r="AY41" s="272">
        <v>40112</v>
      </c>
      <c r="AZ41" s="272">
        <v>42143</v>
      </c>
      <c r="BA41" s="272">
        <v>43200</v>
      </c>
      <c r="BB41" s="272">
        <v>44253</v>
      </c>
      <c r="BC41" s="275">
        <v>44253</v>
      </c>
      <c r="BD41" s="272">
        <v>46084</v>
      </c>
      <c r="BE41" s="272"/>
      <c r="BF41" s="272"/>
      <c r="BG41" s="323"/>
      <c r="BH41" s="285" t="s">
        <v>1517</v>
      </c>
    </row>
    <row r="42" spans="1:60" s="61" customFormat="1" ht="20.100000000000001" customHeight="1">
      <c r="A42" s="190">
        <v>37</v>
      </c>
      <c r="B42" s="193" t="s">
        <v>71</v>
      </c>
      <c r="C42" s="192" t="s">
        <v>68</v>
      </c>
      <c r="D42" s="192" t="s">
        <v>85</v>
      </c>
      <c r="E42" s="192" t="s">
        <v>120</v>
      </c>
      <c r="F42" s="192" t="s">
        <v>121</v>
      </c>
      <c r="G42" s="266">
        <v>44759</v>
      </c>
      <c r="H42" s="193" t="s">
        <v>104</v>
      </c>
      <c r="I42" s="266">
        <v>101</v>
      </c>
      <c r="J42" s="266">
        <v>518</v>
      </c>
      <c r="K42" s="266">
        <v>26</v>
      </c>
      <c r="L42" s="266">
        <v>155</v>
      </c>
      <c r="M42" s="266">
        <v>259</v>
      </c>
      <c r="N42" s="266">
        <v>52</v>
      </c>
      <c r="O42" s="266">
        <v>26</v>
      </c>
      <c r="P42" s="268">
        <v>930</v>
      </c>
      <c r="Q42" s="268">
        <v>150</v>
      </c>
      <c r="R42" s="268">
        <v>713</v>
      </c>
      <c r="S42" s="268">
        <v>67</v>
      </c>
      <c r="T42" s="268">
        <f t="shared" si="3"/>
        <v>930</v>
      </c>
      <c r="U42" s="266">
        <v>863</v>
      </c>
      <c r="V42" s="266">
        <v>4</v>
      </c>
      <c r="W42" s="266">
        <v>396</v>
      </c>
      <c r="X42" s="266">
        <v>463</v>
      </c>
      <c r="Y42" s="266"/>
      <c r="Z42" s="266"/>
      <c r="AA42" s="266">
        <v>67</v>
      </c>
      <c r="AB42" s="266">
        <v>67</v>
      </c>
      <c r="AC42" s="266"/>
      <c r="AD42" s="266"/>
      <c r="AE42" s="266">
        <f t="shared" si="2"/>
        <v>412</v>
      </c>
      <c r="AF42" s="269">
        <v>2</v>
      </c>
      <c r="AG42" s="269">
        <v>2.29</v>
      </c>
      <c r="AH42" s="270">
        <v>167</v>
      </c>
      <c r="AI42" s="270">
        <v>126</v>
      </c>
      <c r="AJ42" s="193" t="s">
        <v>92</v>
      </c>
      <c r="AK42" s="193" t="s">
        <v>108</v>
      </c>
      <c r="AL42" s="193">
        <v>2022</v>
      </c>
      <c r="AM42" s="271">
        <v>38974</v>
      </c>
      <c r="AN42" s="271">
        <v>39953</v>
      </c>
      <c r="AO42" s="271">
        <v>39953</v>
      </c>
      <c r="AP42" s="272">
        <v>39953</v>
      </c>
      <c r="AQ42" s="272">
        <v>42856</v>
      </c>
      <c r="AR42" s="272">
        <v>39066</v>
      </c>
      <c r="AS42" s="272"/>
      <c r="AT42" s="272"/>
      <c r="AU42" s="272"/>
      <c r="AV42" s="277" t="s">
        <v>70</v>
      </c>
      <c r="AW42" s="274" t="s">
        <v>70</v>
      </c>
      <c r="AX42" s="272"/>
      <c r="AY42" s="272">
        <v>40364</v>
      </c>
      <c r="AZ42" s="272">
        <v>43074</v>
      </c>
      <c r="BA42" s="272">
        <v>43390</v>
      </c>
      <c r="BB42" s="272">
        <v>43811</v>
      </c>
      <c r="BC42" s="272">
        <v>43899</v>
      </c>
      <c r="BD42" s="272">
        <v>45790</v>
      </c>
      <c r="BE42" s="275">
        <v>45897</v>
      </c>
      <c r="BF42" s="272"/>
      <c r="BG42" s="323"/>
      <c r="BH42" s="285" t="s">
        <v>1519</v>
      </c>
    </row>
    <row r="43" spans="1:60" s="188" customFormat="1" ht="20.100000000000001" customHeight="1">
      <c r="A43" s="190">
        <v>38</v>
      </c>
      <c r="B43" s="193" t="s">
        <v>71</v>
      </c>
      <c r="C43" s="192" t="s">
        <v>68</v>
      </c>
      <c r="D43" s="192" t="s">
        <v>1497</v>
      </c>
      <c r="E43" s="192" t="s">
        <v>122</v>
      </c>
      <c r="F43" s="192" t="s">
        <v>123</v>
      </c>
      <c r="G43" s="266">
        <v>361976</v>
      </c>
      <c r="H43" s="193" t="s">
        <v>114</v>
      </c>
      <c r="I43" s="266">
        <v>1397</v>
      </c>
      <c r="J43" s="266">
        <f t="shared" ref="J43:J48" si="4">SUM(K43:O43)</f>
        <v>5822</v>
      </c>
      <c r="K43" s="266">
        <v>2304</v>
      </c>
      <c r="L43" s="266">
        <v>2664</v>
      </c>
      <c r="M43" s="266">
        <v>714</v>
      </c>
      <c r="N43" s="266">
        <v>110</v>
      </c>
      <c r="O43" s="266">
        <v>30</v>
      </c>
      <c r="P43" s="268">
        <f>SUM(Q43:S43)</f>
        <v>4871</v>
      </c>
      <c r="Q43" s="268">
        <v>2675</v>
      </c>
      <c r="R43" s="268">
        <v>797</v>
      </c>
      <c r="S43" s="268">
        <v>1399</v>
      </c>
      <c r="T43" s="268">
        <f t="shared" si="3"/>
        <v>4871</v>
      </c>
      <c r="U43" s="266">
        <f>SUM(V43:Z43)</f>
        <v>3472</v>
      </c>
      <c r="V43" s="266"/>
      <c r="W43" s="266">
        <v>652</v>
      </c>
      <c r="X43" s="266">
        <v>2820</v>
      </c>
      <c r="Y43" s="266"/>
      <c r="Z43" s="266"/>
      <c r="AA43" s="266">
        <f>SUM(AB43:AD43)</f>
        <v>1399</v>
      </c>
      <c r="AB43" s="266">
        <v>500</v>
      </c>
      <c r="AC43" s="266">
        <v>614</v>
      </c>
      <c r="AD43" s="266">
        <v>285</v>
      </c>
      <c r="AE43" s="266">
        <f t="shared" si="2"/>
        <v>-951</v>
      </c>
      <c r="AF43" s="269">
        <v>2.5</v>
      </c>
      <c r="AG43" s="269">
        <v>1.87</v>
      </c>
      <c r="AH43" s="270">
        <v>3534</v>
      </c>
      <c r="AI43" s="270"/>
      <c r="AJ43" s="193" t="s">
        <v>105</v>
      </c>
      <c r="AK43" s="193">
        <v>2006</v>
      </c>
      <c r="AL43" s="193">
        <v>2021</v>
      </c>
      <c r="AM43" s="271">
        <v>38974</v>
      </c>
      <c r="AN43" s="271"/>
      <c r="AO43" s="272"/>
      <c r="AP43" s="272">
        <v>39077</v>
      </c>
      <c r="AQ43" s="272">
        <v>39714</v>
      </c>
      <c r="AR43" s="272"/>
      <c r="AS43" s="272"/>
      <c r="AT43" s="272"/>
      <c r="AU43" s="272"/>
      <c r="AV43" s="277" t="s">
        <v>70</v>
      </c>
      <c r="AW43" s="274" t="s">
        <v>70</v>
      </c>
      <c r="AX43" s="272"/>
      <c r="AY43" s="272"/>
      <c r="AZ43" s="272">
        <v>39779</v>
      </c>
      <c r="BA43" s="272"/>
      <c r="BB43" s="275">
        <v>43482</v>
      </c>
      <c r="BC43" s="275">
        <v>43536</v>
      </c>
      <c r="BD43" s="272">
        <v>45110</v>
      </c>
      <c r="BE43" s="272"/>
      <c r="BF43" s="272"/>
      <c r="BG43" s="323"/>
      <c r="BH43" s="285" t="s">
        <v>1515</v>
      </c>
    </row>
    <row r="44" spans="1:60" s="61" customFormat="1" ht="20.100000000000001" customHeight="1">
      <c r="A44" s="190">
        <v>39</v>
      </c>
      <c r="B44" s="193" t="s">
        <v>71</v>
      </c>
      <c r="C44" s="192" t="s">
        <v>68</v>
      </c>
      <c r="D44" s="192" t="s">
        <v>73</v>
      </c>
      <c r="E44" s="192" t="s">
        <v>124</v>
      </c>
      <c r="F44" s="192" t="s">
        <v>125</v>
      </c>
      <c r="G44" s="266">
        <v>66970.8</v>
      </c>
      <c r="H44" s="193">
        <v>1984</v>
      </c>
      <c r="I44" s="266">
        <v>28</v>
      </c>
      <c r="J44" s="266">
        <f t="shared" si="4"/>
        <v>830</v>
      </c>
      <c r="K44" s="266">
        <v>51</v>
      </c>
      <c r="L44" s="266">
        <v>241</v>
      </c>
      <c r="M44" s="266">
        <v>396</v>
      </c>
      <c r="N44" s="266">
        <v>91</v>
      </c>
      <c r="O44" s="266">
        <v>51</v>
      </c>
      <c r="P44" s="268">
        <f>SUM(Q44:S44)</f>
        <v>1351</v>
      </c>
      <c r="Q44" s="268">
        <v>828</v>
      </c>
      <c r="R44" s="268">
        <v>391</v>
      </c>
      <c r="S44" s="268">
        <v>132</v>
      </c>
      <c r="T44" s="268">
        <f t="shared" si="3"/>
        <v>1351</v>
      </c>
      <c r="U44" s="266">
        <f>SUM(V44:Z44)</f>
        <v>1219</v>
      </c>
      <c r="V44" s="266"/>
      <c r="W44" s="266">
        <v>154</v>
      </c>
      <c r="X44" s="266">
        <v>543</v>
      </c>
      <c r="Y44" s="266">
        <v>522</v>
      </c>
      <c r="Z44" s="266"/>
      <c r="AA44" s="266">
        <f>SUM(AB44:AD44)</f>
        <v>132</v>
      </c>
      <c r="AB44" s="266"/>
      <c r="AC44" s="266">
        <v>132</v>
      </c>
      <c r="AD44" s="266"/>
      <c r="AE44" s="266">
        <f t="shared" si="2"/>
        <v>521</v>
      </c>
      <c r="AF44" s="269">
        <v>0.7</v>
      </c>
      <c r="AG44" s="269">
        <v>2.4866000000000001</v>
      </c>
      <c r="AH44" s="270">
        <v>846</v>
      </c>
      <c r="AI44" s="270">
        <v>846</v>
      </c>
      <c r="AJ44" s="193" t="s">
        <v>92</v>
      </c>
      <c r="AK44" s="193">
        <v>2003</v>
      </c>
      <c r="AL44" s="193">
        <v>2009</v>
      </c>
      <c r="AM44" s="271" t="s">
        <v>126</v>
      </c>
      <c r="AN44" s="271"/>
      <c r="AO44" s="271"/>
      <c r="AP44" s="272">
        <v>38474</v>
      </c>
      <c r="AQ44" s="272"/>
      <c r="AR44" s="272"/>
      <c r="AS44" s="272"/>
      <c r="AT44" s="272"/>
      <c r="AU44" s="272">
        <v>37704</v>
      </c>
      <c r="AV44" s="277" t="s">
        <v>70</v>
      </c>
      <c r="AW44" s="274" t="s">
        <v>70</v>
      </c>
      <c r="AX44" s="272"/>
      <c r="AY44" s="272">
        <v>37770</v>
      </c>
      <c r="AZ44" s="272">
        <v>38481</v>
      </c>
      <c r="BA44" s="272">
        <v>38712</v>
      </c>
      <c r="BB44" s="272">
        <v>39030</v>
      </c>
      <c r="BC44" s="272">
        <v>39037</v>
      </c>
      <c r="BD44" s="272">
        <v>40051</v>
      </c>
      <c r="BE44" s="272">
        <v>40228</v>
      </c>
      <c r="BF44" s="272"/>
      <c r="BG44" s="323"/>
      <c r="BH44" s="285" t="s">
        <v>1514</v>
      </c>
    </row>
    <row r="45" spans="1:60" s="61" customFormat="1" ht="20.100000000000001" customHeight="1">
      <c r="A45" s="190">
        <v>40</v>
      </c>
      <c r="B45" s="193" t="s">
        <v>71</v>
      </c>
      <c r="C45" s="192" t="s">
        <v>68</v>
      </c>
      <c r="D45" s="192" t="s">
        <v>73</v>
      </c>
      <c r="E45" s="192" t="s">
        <v>127</v>
      </c>
      <c r="F45" s="192" t="s">
        <v>128</v>
      </c>
      <c r="G45" s="266">
        <v>37641.199999999997</v>
      </c>
      <c r="H45" s="193">
        <v>1981</v>
      </c>
      <c r="I45" s="266">
        <v>22</v>
      </c>
      <c r="J45" s="266">
        <f t="shared" si="4"/>
        <v>696</v>
      </c>
      <c r="K45" s="266">
        <v>8</v>
      </c>
      <c r="L45" s="266">
        <v>207</v>
      </c>
      <c r="M45" s="266">
        <v>409</v>
      </c>
      <c r="N45" s="266">
        <v>64</v>
      </c>
      <c r="O45" s="266">
        <v>8</v>
      </c>
      <c r="P45" s="268">
        <f>SUM(Q45:S45)</f>
        <v>807</v>
      </c>
      <c r="Q45" s="268">
        <v>670</v>
      </c>
      <c r="R45" s="268">
        <v>83</v>
      </c>
      <c r="S45" s="268">
        <v>54</v>
      </c>
      <c r="T45" s="268">
        <f t="shared" si="3"/>
        <v>807</v>
      </c>
      <c r="U45" s="266">
        <f>SUM(V45:Z45)</f>
        <v>753</v>
      </c>
      <c r="V45" s="266"/>
      <c r="W45" s="266"/>
      <c r="X45" s="266">
        <v>112</v>
      </c>
      <c r="Y45" s="266">
        <v>496</v>
      </c>
      <c r="Z45" s="266">
        <v>145</v>
      </c>
      <c r="AA45" s="266">
        <v>54</v>
      </c>
      <c r="AB45" s="266">
        <v>54</v>
      </c>
      <c r="AC45" s="266"/>
      <c r="AD45" s="266"/>
      <c r="AE45" s="266">
        <f t="shared" si="2"/>
        <v>111</v>
      </c>
      <c r="AF45" s="269">
        <v>0.8</v>
      </c>
      <c r="AG45" s="269">
        <v>2.4698000000000002</v>
      </c>
      <c r="AH45" s="270">
        <v>711</v>
      </c>
      <c r="AI45" s="270">
        <v>711</v>
      </c>
      <c r="AJ45" s="193" t="s">
        <v>92</v>
      </c>
      <c r="AK45" s="193">
        <v>2003</v>
      </c>
      <c r="AL45" s="193">
        <v>2009</v>
      </c>
      <c r="AM45" s="271" t="s">
        <v>126</v>
      </c>
      <c r="AN45" s="271"/>
      <c r="AO45" s="271"/>
      <c r="AP45" s="272">
        <v>38481</v>
      </c>
      <c r="AQ45" s="272"/>
      <c r="AR45" s="272"/>
      <c r="AS45" s="272"/>
      <c r="AT45" s="272"/>
      <c r="AU45" s="272">
        <v>36864</v>
      </c>
      <c r="AV45" s="277" t="s">
        <v>70</v>
      </c>
      <c r="AW45" s="274" t="s">
        <v>70</v>
      </c>
      <c r="AX45" s="272"/>
      <c r="AY45" s="272">
        <v>37802</v>
      </c>
      <c r="AZ45" s="272">
        <v>38489</v>
      </c>
      <c r="BA45" s="272">
        <v>38713</v>
      </c>
      <c r="BB45" s="272">
        <v>38898</v>
      </c>
      <c r="BC45" s="272">
        <v>39744</v>
      </c>
      <c r="BD45" s="272">
        <v>39955</v>
      </c>
      <c r="BE45" s="272">
        <v>39961</v>
      </c>
      <c r="BF45" s="272"/>
      <c r="BG45" s="323"/>
      <c r="BH45" s="285" t="s">
        <v>1514</v>
      </c>
    </row>
    <row r="46" spans="1:60" s="61" customFormat="1" ht="20.100000000000001" customHeight="1">
      <c r="A46" s="190">
        <v>41</v>
      </c>
      <c r="B46" s="193" t="s">
        <v>71</v>
      </c>
      <c r="C46" s="192" t="s">
        <v>68</v>
      </c>
      <c r="D46" s="192" t="s">
        <v>112</v>
      </c>
      <c r="E46" s="192" t="s">
        <v>129</v>
      </c>
      <c r="F46" s="192" t="s">
        <v>130</v>
      </c>
      <c r="G46" s="266">
        <v>230282.8</v>
      </c>
      <c r="H46" s="193" t="s">
        <v>114</v>
      </c>
      <c r="I46" s="266">
        <v>911</v>
      </c>
      <c r="J46" s="266">
        <f t="shared" si="4"/>
        <v>2787</v>
      </c>
      <c r="K46" s="266">
        <v>1112</v>
      </c>
      <c r="L46" s="266">
        <v>1297</v>
      </c>
      <c r="M46" s="266">
        <v>327</v>
      </c>
      <c r="N46" s="266">
        <v>45</v>
      </c>
      <c r="O46" s="266">
        <v>6</v>
      </c>
      <c r="P46" s="268">
        <f>SUM(Q46:S46)</f>
        <v>2682</v>
      </c>
      <c r="Q46" s="268">
        <v>2097</v>
      </c>
      <c r="R46" s="268"/>
      <c r="S46" s="268">
        <v>585</v>
      </c>
      <c r="T46" s="268">
        <f t="shared" si="3"/>
        <v>2682</v>
      </c>
      <c r="U46" s="266">
        <f>SUM(V46:Z46)</f>
        <v>2097</v>
      </c>
      <c r="V46" s="266"/>
      <c r="W46" s="266">
        <v>451</v>
      </c>
      <c r="X46" s="266">
        <v>1484</v>
      </c>
      <c r="Y46" s="266">
        <v>162</v>
      </c>
      <c r="Z46" s="266"/>
      <c r="AA46" s="266">
        <f>SUM(AB46:AD46)</f>
        <v>585</v>
      </c>
      <c r="AB46" s="266">
        <v>401</v>
      </c>
      <c r="AC46" s="266">
        <v>184</v>
      </c>
      <c r="AD46" s="266"/>
      <c r="AE46" s="266">
        <f t="shared" si="2"/>
        <v>-105</v>
      </c>
      <c r="AF46" s="269">
        <v>2.5</v>
      </c>
      <c r="AG46" s="269">
        <v>2</v>
      </c>
      <c r="AH46" s="270">
        <v>1372</v>
      </c>
      <c r="AI46" s="270"/>
      <c r="AJ46" s="193" t="s">
        <v>105</v>
      </c>
      <c r="AK46" s="193">
        <v>2006</v>
      </c>
      <c r="AL46" s="193">
        <v>2014</v>
      </c>
      <c r="AM46" s="271">
        <v>38974</v>
      </c>
      <c r="AN46" s="271"/>
      <c r="AO46" s="272"/>
      <c r="AP46" s="272">
        <v>39062</v>
      </c>
      <c r="AQ46" s="272"/>
      <c r="AR46" s="272"/>
      <c r="AS46" s="272"/>
      <c r="AT46" s="272"/>
      <c r="AU46" s="272"/>
      <c r="AV46" s="277" t="s">
        <v>70</v>
      </c>
      <c r="AW46" s="274" t="s">
        <v>70</v>
      </c>
      <c r="AX46" s="272"/>
      <c r="AY46" s="272"/>
      <c r="AZ46" s="272">
        <v>39392</v>
      </c>
      <c r="BA46" s="272"/>
      <c r="BB46" s="272">
        <v>41274</v>
      </c>
      <c r="BC46" s="272">
        <v>41738</v>
      </c>
      <c r="BD46" s="272">
        <v>42222</v>
      </c>
      <c r="BE46" s="272"/>
      <c r="BF46" s="272"/>
      <c r="BG46" s="323"/>
      <c r="BH46" s="285" t="s">
        <v>1520</v>
      </c>
    </row>
    <row r="47" spans="1:60" s="61" customFormat="1" ht="20.100000000000001" customHeight="1">
      <c r="A47" s="190">
        <v>42</v>
      </c>
      <c r="B47" s="193" t="s">
        <v>71</v>
      </c>
      <c r="C47" s="192" t="s">
        <v>68</v>
      </c>
      <c r="D47" s="192" t="s">
        <v>1497</v>
      </c>
      <c r="E47" s="192" t="s">
        <v>131</v>
      </c>
      <c r="F47" s="192" t="s">
        <v>132</v>
      </c>
      <c r="G47" s="266">
        <v>94896</v>
      </c>
      <c r="H47" s="193" t="s">
        <v>133</v>
      </c>
      <c r="I47" s="266">
        <v>678</v>
      </c>
      <c r="J47" s="266">
        <f t="shared" si="4"/>
        <v>1247</v>
      </c>
      <c r="K47" s="266">
        <v>1247</v>
      </c>
      <c r="L47" s="279" t="s">
        <v>115</v>
      </c>
      <c r="M47" s="266"/>
      <c r="N47" s="266"/>
      <c r="O47" s="266"/>
      <c r="P47" s="268"/>
      <c r="Q47" s="268"/>
      <c r="R47" s="268"/>
      <c r="S47" s="268"/>
      <c r="T47" s="268">
        <f t="shared" si="3"/>
        <v>0</v>
      </c>
      <c r="U47" s="266"/>
      <c r="V47" s="266" t="s">
        <v>116</v>
      </c>
      <c r="W47" s="266"/>
      <c r="X47" s="266"/>
      <c r="Y47" s="266"/>
      <c r="Z47" s="266"/>
      <c r="AA47" s="266"/>
      <c r="AB47" s="266"/>
      <c r="AC47" s="266"/>
      <c r="AD47" s="266"/>
      <c r="AE47" s="266">
        <f t="shared" si="2"/>
        <v>-1247</v>
      </c>
      <c r="AF47" s="269">
        <v>2</v>
      </c>
      <c r="AG47" s="269"/>
      <c r="AH47" s="270">
        <v>678</v>
      </c>
      <c r="AI47" s="270"/>
      <c r="AJ47" s="193" t="s">
        <v>117</v>
      </c>
      <c r="AK47" s="193">
        <v>2015</v>
      </c>
      <c r="AL47" s="193">
        <v>2019</v>
      </c>
      <c r="AM47" s="271">
        <v>42013</v>
      </c>
      <c r="AN47" s="271">
        <v>42004</v>
      </c>
      <c r="AO47" s="272">
        <v>41961</v>
      </c>
      <c r="AP47" s="272">
        <v>42013</v>
      </c>
      <c r="AQ47" s="272"/>
      <c r="AR47" s="272"/>
      <c r="AS47" s="272"/>
      <c r="AT47" s="272"/>
      <c r="AU47" s="272"/>
      <c r="AV47" s="277" t="s">
        <v>70</v>
      </c>
      <c r="AW47" s="274" t="s">
        <v>70</v>
      </c>
      <c r="AX47" s="272"/>
      <c r="AY47" s="272"/>
      <c r="AZ47" s="272"/>
      <c r="BA47" s="272"/>
      <c r="BB47" s="272">
        <v>42593</v>
      </c>
      <c r="BC47" s="272"/>
      <c r="BD47" s="272">
        <v>43830</v>
      </c>
      <c r="BE47" s="272"/>
      <c r="BF47" s="272"/>
      <c r="BG47" s="323"/>
      <c r="BH47" s="285" t="s">
        <v>1521</v>
      </c>
    </row>
    <row r="48" spans="1:60" s="61" customFormat="1" ht="20.100000000000001" customHeight="1">
      <c r="A48" s="190">
        <v>43</v>
      </c>
      <c r="B48" s="193" t="s">
        <v>71</v>
      </c>
      <c r="C48" s="192" t="s">
        <v>68</v>
      </c>
      <c r="D48" s="192" t="s">
        <v>1497</v>
      </c>
      <c r="E48" s="192" t="s">
        <v>134</v>
      </c>
      <c r="F48" s="192" t="s">
        <v>135</v>
      </c>
      <c r="G48" s="266">
        <v>137475</v>
      </c>
      <c r="H48" s="193" t="s">
        <v>136</v>
      </c>
      <c r="I48" s="266">
        <v>553</v>
      </c>
      <c r="J48" s="266">
        <f t="shared" si="4"/>
        <v>1680</v>
      </c>
      <c r="K48" s="266">
        <v>1680</v>
      </c>
      <c r="L48" s="279" t="s">
        <v>115</v>
      </c>
      <c r="M48" s="266"/>
      <c r="N48" s="266"/>
      <c r="O48" s="266"/>
      <c r="P48" s="268"/>
      <c r="Q48" s="268"/>
      <c r="R48" s="268"/>
      <c r="S48" s="268"/>
      <c r="T48" s="268">
        <f t="shared" si="3"/>
        <v>0</v>
      </c>
      <c r="U48" s="266"/>
      <c r="V48" s="266" t="s">
        <v>116</v>
      </c>
      <c r="W48" s="266"/>
      <c r="X48" s="266"/>
      <c r="Y48" s="266"/>
      <c r="Z48" s="266"/>
      <c r="AA48" s="266"/>
      <c r="AB48" s="266"/>
      <c r="AC48" s="266"/>
      <c r="AD48" s="266"/>
      <c r="AE48" s="266">
        <f t="shared" si="2"/>
        <v>-1680</v>
      </c>
      <c r="AF48" s="269">
        <v>2</v>
      </c>
      <c r="AG48" s="269"/>
      <c r="AH48" s="270">
        <v>195</v>
      </c>
      <c r="AI48" s="270"/>
      <c r="AJ48" s="193" t="s">
        <v>117</v>
      </c>
      <c r="AK48" s="193">
        <v>2014</v>
      </c>
      <c r="AL48" s="193">
        <v>2016</v>
      </c>
      <c r="AM48" s="271">
        <v>41782</v>
      </c>
      <c r="AN48" s="271"/>
      <c r="AO48" s="272"/>
      <c r="AP48" s="272">
        <v>41782</v>
      </c>
      <c r="AQ48" s="272"/>
      <c r="AR48" s="272"/>
      <c r="AS48" s="272"/>
      <c r="AT48" s="272"/>
      <c r="AU48" s="272"/>
      <c r="AV48" s="277" t="s">
        <v>70</v>
      </c>
      <c r="AW48" s="274" t="s">
        <v>70</v>
      </c>
      <c r="AX48" s="272"/>
      <c r="AY48" s="193"/>
      <c r="AZ48" s="272"/>
      <c r="BA48" s="272"/>
      <c r="BB48" s="272">
        <v>41773</v>
      </c>
      <c r="BC48" s="272"/>
      <c r="BD48" s="272">
        <v>42369</v>
      </c>
      <c r="BE48" s="272"/>
      <c r="BF48" s="272"/>
      <c r="BG48" s="323"/>
      <c r="BH48" s="285" t="s">
        <v>1521</v>
      </c>
    </row>
    <row r="49" spans="1:60" s="61" customFormat="1" ht="20.100000000000001" customHeight="1">
      <c r="A49" s="190">
        <v>44</v>
      </c>
      <c r="B49" s="193" t="s">
        <v>71</v>
      </c>
      <c r="C49" s="192" t="s">
        <v>137</v>
      </c>
      <c r="D49" s="192" t="s">
        <v>85</v>
      </c>
      <c r="E49" s="192" t="s">
        <v>138</v>
      </c>
      <c r="F49" s="192" t="s">
        <v>139</v>
      </c>
      <c r="G49" s="266">
        <v>171786</v>
      </c>
      <c r="H49" s="193" t="s">
        <v>104</v>
      </c>
      <c r="I49" s="266">
        <v>696</v>
      </c>
      <c r="J49" s="266">
        <v>2061</v>
      </c>
      <c r="K49" s="266">
        <v>103</v>
      </c>
      <c r="L49" s="266">
        <v>618</v>
      </c>
      <c r="M49" s="266">
        <v>1031</v>
      </c>
      <c r="N49" s="266">
        <v>206</v>
      </c>
      <c r="O49" s="266">
        <v>103</v>
      </c>
      <c r="P49" s="268">
        <v>3432</v>
      </c>
      <c r="Q49" s="268">
        <v>1026</v>
      </c>
      <c r="R49" s="268">
        <v>2165</v>
      </c>
      <c r="S49" s="268">
        <v>241</v>
      </c>
      <c r="T49" s="268">
        <f t="shared" si="3"/>
        <v>3432</v>
      </c>
      <c r="U49" s="266">
        <v>3191</v>
      </c>
      <c r="V49" s="266">
        <v>343</v>
      </c>
      <c r="W49" s="266">
        <v>1142</v>
      </c>
      <c r="X49" s="266">
        <v>1619</v>
      </c>
      <c r="Y49" s="266">
        <v>87</v>
      </c>
      <c r="Z49" s="266"/>
      <c r="AA49" s="266">
        <v>241</v>
      </c>
      <c r="AB49" s="266">
        <v>241</v>
      </c>
      <c r="AC49" s="266"/>
      <c r="AD49" s="266"/>
      <c r="AE49" s="266">
        <f t="shared" si="2"/>
        <v>1371</v>
      </c>
      <c r="AF49" s="269">
        <v>2</v>
      </c>
      <c r="AG49" s="269">
        <v>2.4500000000000002</v>
      </c>
      <c r="AH49" s="270">
        <v>1328</v>
      </c>
      <c r="AI49" s="270">
        <v>957</v>
      </c>
      <c r="AJ49" s="193" t="s">
        <v>92</v>
      </c>
      <c r="AK49" s="193" t="s">
        <v>108</v>
      </c>
      <c r="AL49" s="193">
        <v>2023</v>
      </c>
      <c r="AM49" s="271">
        <v>38974</v>
      </c>
      <c r="AN49" s="272">
        <v>40004</v>
      </c>
      <c r="AO49" s="272">
        <v>40004</v>
      </c>
      <c r="AP49" s="272">
        <v>40004</v>
      </c>
      <c r="AQ49" s="272">
        <v>43719</v>
      </c>
      <c r="AR49" s="272">
        <v>39042</v>
      </c>
      <c r="AS49" s="272"/>
      <c r="AT49" s="272"/>
      <c r="AU49" s="272"/>
      <c r="AV49" s="277" t="s">
        <v>70</v>
      </c>
      <c r="AW49" s="274" t="s">
        <v>70</v>
      </c>
      <c r="AX49" s="272"/>
      <c r="AY49" s="272">
        <v>40184</v>
      </c>
      <c r="AZ49" s="272">
        <v>42349</v>
      </c>
      <c r="BA49" s="272">
        <v>42817</v>
      </c>
      <c r="BB49" s="280">
        <v>44000</v>
      </c>
      <c r="BC49" s="272">
        <v>44001</v>
      </c>
      <c r="BD49" s="272">
        <v>45579</v>
      </c>
      <c r="BE49" s="272">
        <v>45645</v>
      </c>
      <c r="BF49" s="272">
        <v>45983</v>
      </c>
      <c r="BG49" s="323"/>
      <c r="BH49" s="285" t="s">
        <v>1518</v>
      </c>
    </row>
    <row r="50" spans="1:60" s="186" customFormat="1" ht="20.100000000000001" customHeight="1">
      <c r="A50" s="190">
        <v>45</v>
      </c>
      <c r="B50" s="193" t="s">
        <v>71</v>
      </c>
      <c r="C50" s="192" t="s">
        <v>137</v>
      </c>
      <c r="D50" s="192" t="s">
        <v>85</v>
      </c>
      <c r="E50" s="192" t="s">
        <v>140</v>
      </c>
      <c r="F50" s="192" t="s">
        <v>141</v>
      </c>
      <c r="G50" s="266">
        <v>223011</v>
      </c>
      <c r="H50" s="193" t="s">
        <v>104</v>
      </c>
      <c r="I50" s="266">
        <v>855</v>
      </c>
      <c r="J50" s="266">
        <v>2830</v>
      </c>
      <c r="K50" s="266">
        <v>142</v>
      </c>
      <c r="L50" s="266">
        <v>849</v>
      </c>
      <c r="M50" s="266">
        <v>1414</v>
      </c>
      <c r="N50" s="266">
        <v>283</v>
      </c>
      <c r="O50" s="266">
        <v>142</v>
      </c>
      <c r="P50" s="268">
        <v>3603</v>
      </c>
      <c r="Q50" s="268">
        <v>1687</v>
      </c>
      <c r="R50" s="268">
        <v>1795</v>
      </c>
      <c r="S50" s="268">
        <v>121</v>
      </c>
      <c r="T50" s="268">
        <f t="shared" si="3"/>
        <v>3603</v>
      </c>
      <c r="U50" s="266">
        <v>3482</v>
      </c>
      <c r="V50" s="266" t="s">
        <v>97</v>
      </c>
      <c r="W50" s="266">
        <v>1308</v>
      </c>
      <c r="X50" s="266">
        <v>1996</v>
      </c>
      <c r="Y50" s="266">
        <v>178</v>
      </c>
      <c r="Z50" s="266"/>
      <c r="AA50" s="266">
        <v>121</v>
      </c>
      <c r="AB50" s="266">
        <v>121</v>
      </c>
      <c r="AC50" s="266"/>
      <c r="AD50" s="266"/>
      <c r="AE50" s="266">
        <f t="shared" si="2"/>
        <v>773</v>
      </c>
      <c r="AF50" s="269">
        <v>2</v>
      </c>
      <c r="AG50" s="269">
        <v>2.2187000000000001</v>
      </c>
      <c r="AH50" s="270">
        <v>1877</v>
      </c>
      <c r="AI50" s="270">
        <v>1495</v>
      </c>
      <c r="AJ50" s="193" t="s">
        <v>92</v>
      </c>
      <c r="AK50" s="193" t="s">
        <v>108</v>
      </c>
      <c r="AL50" s="193">
        <v>2022</v>
      </c>
      <c r="AM50" s="271">
        <v>38974</v>
      </c>
      <c r="AN50" s="271">
        <v>40385</v>
      </c>
      <c r="AO50" s="271">
        <v>40385</v>
      </c>
      <c r="AP50" s="272">
        <v>40385</v>
      </c>
      <c r="AQ50" s="272">
        <v>43690</v>
      </c>
      <c r="AR50" s="272">
        <v>39637</v>
      </c>
      <c r="AS50" s="272"/>
      <c r="AT50" s="272"/>
      <c r="AU50" s="272"/>
      <c r="AV50" s="277" t="s">
        <v>70</v>
      </c>
      <c r="AW50" s="274" t="s">
        <v>70</v>
      </c>
      <c r="AX50" s="272"/>
      <c r="AY50" s="272">
        <v>40529</v>
      </c>
      <c r="AZ50" s="272">
        <v>42550</v>
      </c>
      <c r="BA50" s="272">
        <v>42972</v>
      </c>
      <c r="BB50" s="272">
        <v>43829</v>
      </c>
      <c r="BC50" s="272">
        <v>43879</v>
      </c>
      <c r="BD50" s="272">
        <v>45028</v>
      </c>
      <c r="BE50" s="272">
        <v>45176</v>
      </c>
      <c r="BF50" s="272">
        <v>45480</v>
      </c>
      <c r="BG50" s="323"/>
      <c r="BH50" s="285" t="s">
        <v>1518</v>
      </c>
    </row>
    <row r="51" spans="1:60" s="61" customFormat="1" ht="20.100000000000001" customHeight="1">
      <c r="A51" s="190">
        <v>46</v>
      </c>
      <c r="B51" s="193" t="s">
        <v>71</v>
      </c>
      <c r="C51" s="192" t="s">
        <v>137</v>
      </c>
      <c r="D51" s="192" t="s">
        <v>85</v>
      </c>
      <c r="E51" s="192" t="s">
        <v>142</v>
      </c>
      <c r="F51" s="192" t="s">
        <v>143</v>
      </c>
      <c r="G51" s="266">
        <v>139295</v>
      </c>
      <c r="H51" s="193" t="s">
        <v>104</v>
      </c>
      <c r="I51" s="266">
        <v>584</v>
      </c>
      <c r="J51" s="266">
        <v>1672</v>
      </c>
      <c r="K51" s="266">
        <v>84</v>
      </c>
      <c r="L51" s="266">
        <v>505</v>
      </c>
      <c r="M51" s="266">
        <v>841</v>
      </c>
      <c r="N51" s="266">
        <v>158</v>
      </c>
      <c r="O51" s="266">
        <v>84</v>
      </c>
      <c r="P51" s="268">
        <v>2586</v>
      </c>
      <c r="Q51" s="268">
        <v>854</v>
      </c>
      <c r="R51" s="268">
        <v>1550</v>
      </c>
      <c r="S51" s="268">
        <v>182</v>
      </c>
      <c r="T51" s="268">
        <f t="shared" si="3"/>
        <v>2586</v>
      </c>
      <c r="U51" s="266">
        <v>2404</v>
      </c>
      <c r="V51" s="266">
        <v>52</v>
      </c>
      <c r="W51" s="266">
        <v>904</v>
      </c>
      <c r="X51" s="266">
        <v>1420</v>
      </c>
      <c r="Y51" s="266">
        <v>28</v>
      </c>
      <c r="Z51" s="266"/>
      <c r="AA51" s="266">
        <v>182</v>
      </c>
      <c r="AB51" s="266">
        <v>114</v>
      </c>
      <c r="AC51" s="266">
        <v>68</v>
      </c>
      <c r="AD51" s="266"/>
      <c r="AE51" s="266">
        <f t="shared" si="2"/>
        <v>914</v>
      </c>
      <c r="AF51" s="269">
        <v>2</v>
      </c>
      <c r="AG51" s="269">
        <v>2.2372999999999998</v>
      </c>
      <c r="AH51" s="270">
        <v>1075</v>
      </c>
      <c r="AI51" s="270">
        <v>760</v>
      </c>
      <c r="AJ51" s="193" t="s">
        <v>92</v>
      </c>
      <c r="AK51" s="193" t="s">
        <v>108</v>
      </c>
      <c r="AL51" s="193">
        <v>2023</v>
      </c>
      <c r="AM51" s="271">
        <v>38974</v>
      </c>
      <c r="AN51" s="272">
        <v>39958</v>
      </c>
      <c r="AO51" s="272">
        <v>39958</v>
      </c>
      <c r="AP51" s="272">
        <v>39958</v>
      </c>
      <c r="AQ51" s="272">
        <v>43411</v>
      </c>
      <c r="AR51" s="272">
        <v>39090</v>
      </c>
      <c r="AS51" s="272"/>
      <c r="AT51" s="272"/>
      <c r="AU51" s="272"/>
      <c r="AV51" s="277" t="s">
        <v>70</v>
      </c>
      <c r="AW51" s="274" t="s">
        <v>70</v>
      </c>
      <c r="AX51" s="272"/>
      <c r="AY51" s="272">
        <v>40080</v>
      </c>
      <c r="AZ51" s="272">
        <v>42369</v>
      </c>
      <c r="BA51" s="272">
        <v>42949</v>
      </c>
      <c r="BB51" s="272">
        <v>43811</v>
      </c>
      <c r="BC51" s="272">
        <v>43812</v>
      </c>
      <c r="BD51" s="275">
        <v>44967</v>
      </c>
      <c r="BE51" s="272">
        <v>45071</v>
      </c>
      <c r="BF51" s="272">
        <v>45256</v>
      </c>
      <c r="BG51" s="323"/>
      <c r="BH51" s="285" t="s">
        <v>1519</v>
      </c>
    </row>
    <row r="52" spans="1:60" s="186" customFormat="1" ht="20.100000000000001" customHeight="1">
      <c r="A52" s="190">
        <v>47</v>
      </c>
      <c r="B52" s="193" t="s">
        <v>71</v>
      </c>
      <c r="C52" s="192" t="s">
        <v>137</v>
      </c>
      <c r="D52" s="192" t="s">
        <v>85</v>
      </c>
      <c r="E52" s="192" t="s">
        <v>1509</v>
      </c>
      <c r="F52" s="192" t="s">
        <v>145</v>
      </c>
      <c r="G52" s="266">
        <v>35739</v>
      </c>
      <c r="H52" s="193" t="s">
        <v>146</v>
      </c>
      <c r="I52" s="266">
        <v>135</v>
      </c>
      <c r="J52" s="266">
        <v>406</v>
      </c>
      <c r="K52" s="266">
        <v>20</v>
      </c>
      <c r="L52" s="266">
        <v>122</v>
      </c>
      <c r="M52" s="266">
        <v>203</v>
      </c>
      <c r="N52" s="266">
        <v>41</v>
      </c>
      <c r="O52" s="266">
        <v>20</v>
      </c>
      <c r="P52" s="268">
        <v>666</v>
      </c>
      <c r="Q52" s="268">
        <v>144</v>
      </c>
      <c r="R52" s="268">
        <v>475</v>
      </c>
      <c r="S52" s="268">
        <v>47</v>
      </c>
      <c r="T52" s="268">
        <f t="shared" si="3"/>
        <v>666</v>
      </c>
      <c r="U52" s="266">
        <v>619</v>
      </c>
      <c r="V52" s="266">
        <v>67</v>
      </c>
      <c r="W52" s="266">
        <v>152</v>
      </c>
      <c r="X52" s="266">
        <v>400</v>
      </c>
      <c r="Y52" s="266"/>
      <c r="Z52" s="266"/>
      <c r="AA52" s="266">
        <v>47</v>
      </c>
      <c r="AB52" s="266">
        <v>47</v>
      </c>
      <c r="AC52" s="266"/>
      <c r="AD52" s="266"/>
      <c r="AE52" s="266">
        <f t="shared" si="2"/>
        <v>260</v>
      </c>
      <c r="AF52" s="269">
        <v>2</v>
      </c>
      <c r="AG52" s="269">
        <v>2.2799999999999998</v>
      </c>
      <c r="AH52" s="270">
        <v>259</v>
      </c>
      <c r="AI52" s="270">
        <v>138</v>
      </c>
      <c r="AJ52" s="193" t="s">
        <v>92</v>
      </c>
      <c r="AK52" s="193" t="s">
        <v>108</v>
      </c>
      <c r="AL52" s="193">
        <v>2022</v>
      </c>
      <c r="AM52" s="271">
        <v>38974</v>
      </c>
      <c r="AN52" s="272">
        <v>39833</v>
      </c>
      <c r="AO52" s="272">
        <v>39833</v>
      </c>
      <c r="AP52" s="272">
        <v>39833</v>
      </c>
      <c r="AQ52" s="272">
        <v>43699</v>
      </c>
      <c r="AR52" s="272">
        <v>39042</v>
      </c>
      <c r="AS52" s="272"/>
      <c r="AT52" s="272"/>
      <c r="AU52" s="272"/>
      <c r="AV52" s="277" t="s">
        <v>70</v>
      </c>
      <c r="AW52" s="274" t="s">
        <v>70</v>
      </c>
      <c r="AX52" s="272"/>
      <c r="AY52" s="272">
        <v>40023</v>
      </c>
      <c r="AZ52" s="272">
        <v>42208</v>
      </c>
      <c r="BA52" s="272">
        <v>42815</v>
      </c>
      <c r="BB52" s="272">
        <v>43791</v>
      </c>
      <c r="BC52" s="280">
        <v>43930</v>
      </c>
      <c r="BD52" s="272">
        <v>44708</v>
      </c>
      <c r="BE52" s="272">
        <v>44972</v>
      </c>
      <c r="BF52" s="272">
        <v>45106</v>
      </c>
      <c r="BG52" s="323"/>
      <c r="BH52" s="285" t="s">
        <v>1517</v>
      </c>
    </row>
    <row r="53" spans="1:60" s="61" customFormat="1" ht="20.100000000000001" customHeight="1">
      <c r="A53" s="190">
        <v>48</v>
      </c>
      <c r="B53" s="193" t="s">
        <v>71</v>
      </c>
      <c r="C53" s="192" t="s">
        <v>137</v>
      </c>
      <c r="D53" s="192" t="s">
        <v>73</v>
      </c>
      <c r="E53" s="192" t="s">
        <v>147</v>
      </c>
      <c r="F53" s="192" t="s">
        <v>148</v>
      </c>
      <c r="G53" s="266">
        <v>53074</v>
      </c>
      <c r="H53" s="193">
        <v>1983</v>
      </c>
      <c r="I53" s="266">
        <v>100</v>
      </c>
      <c r="J53" s="266">
        <f>SUM(K53:O53)</f>
        <v>941</v>
      </c>
      <c r="K53" s="266"/>
      <c r="L53" s="266">
        <v>941</v>
      </c>
      <c r="M53" s="266"/>
      <c r="N53" s="266"/>
      <c r="O53" s="266"/>
      <c r="P53" s="268">
        <v>1130</v>
      </c>
      <c r="Q53" s="268">
        <v>741</v>
      </c>
      <c r="R53" s="268">
        <v>389</v>
      </c>
      <c r="S53" s="268"/>
      <c r="T53" s="268">
        <f t="shared" si="3"/>
        <v>1130</v>
      </c>
      <c r="U53" s="266">
        <f>SUM(V53:Z53)</f>
        <v>1130</v>
      </c>
      <c r="V53" s="266"/>
      <c r="W53" s="266">
        <v>676</v>
      </c>
      <c r="X53" s="266">
        <v>454</v>
      </c>
      <c r="Y53" s="266"/>
      <c r="Z53" s="266"/>
      <c r="AA53" s="266"/>
      <c r="AB53" s="266"/>
      <c r="AC53" s="266"/>
      <c r="AD53" s="266"/>
      <c r="AE53" s="266">
        <f t="shared" si="2"/>
        <v>189</v>
      </c>
      <c r="AF53" s="269">
        <v>2.2000000000000002</v>
      </c>
      <c r="AG53" s="269">
        <v>2.4900000000000002</v>
      </c>
      <c r="AH53" s="270">
        <v>765</v>
      </c>
      <c r="AI53" s="270">
        <v>710</v>
      </c>
      <c r="AJ53" s="193" t="s">
        <v>92</v>
      </c>
      <c r="AK53" s="193">
        <v>2006</v>
      </c>
      <c r="AL53" s="193"/>
      <c r="AM53" s="271">
        <v>38974</v>
      </c>
      <c r="AN53" s="271">
        <v>39813</v>
      </c>
      <c r="AO53" s="272">
        <v>40794</v>
      </c>
      <c r="AP53" s="272">
        <v>40935</v>
      </c>
      <c r="AQ53" s="272">
        <v>43878</v>
      </c>
      <c r="AR53" s="272">
        <v>39086</v>
      </c>
      <c r="AS53" s="272"/>
      <c r="AT53" s="272"/>
      <c r="AU53" s="272">
        <v>40326</v>
      </c>
      <c r="AV53" s="277" t="s">
        <v>70</v>
      </c>
      <c r="AW53" s="274" t="s">
        <v>70</v>
      </c>
      <c r="AX53" s="272"/>
      <c r="AY53" s="272">
        <v>42556</v>
      </c>
      <c r="AZ53" s="272">
        <v>43243</v>
      </c>
      <c r="BA53" s="275">
        <v>43531</v>
      </c>
      <c r="BB53" s="275">
        <v>43963</v>
      </c>
      <c r="BC53" s="275">
        <v>44000</v>
      </c>
      <c r="BD53" s="272">
        <v>45274</v>
      </c>
      <c r="BE53" s="272">
        <v>45379</v>
      </c>
      <c r="BF53" s="272">
        <v>45666</v>
      </c>
      <c r="BG53" s="323"/>
      <c r="BH53" s="285" t="s">
        <v>1514</v>
      </c>
    </row>
    <row r="54" spans="1:60" s="61" customFormat="1" ht="20.100000000000001" customHeight="1">
      <c r="A54" s="190">
        <v>49</v>
      </c>
      <c r="B54" s="193" t="s">
        <v>71</v>
      </c>
      <c r="C54" s="192" t="s">
        <v>137</v>
      </c>
      <c r="D54" s="192" t="s">
        <v>85</v>
      </c>
      <c r="E54" s="192" t="s">
        <v>149</v>
      </c>
      <c r="F54" s="192" t="s">
        <v>150</v>
      </c>
      <c r="G54" s="266">
        <v>11501</v>
      </c>
      <c r="H54" s="193" t="s">
        <v>104</v>
      </c>
      <c r="I54" s="266">
        <v>59</v>
      </c>
      <c r="J54" s="266">
        <v>145</v>
      </c>
      <c r="K54" s="266">
        <v>7</v>
      </c>
      <c r="L54" s="266">
        <v>44</v>
      </c>
      <c r="M54" s="266">
        <v>72</v>
      </c>
      <c r="N54" s="266">
        <v>15</v>
      </c>
      <c r="O54" s="266">
        <v>7</v>
      </c>
      <c r="P54" s="268">
        <v>198</v>
      </c>
      <c r="Q54" s="268">
        <v>45</v>
      </c>
      <c r="R54" s="268">
        <v>153</v>
      </c>
      <c r="S54" s="268"/>
      <c r="T54" s="268">
        <f t="shared" si="3"/>
        <v>198</v>
      </c>
      <c r="U54" s="266">
        <v>198</v>
      </c>
      <c r="V54" s="266"/>
      <c r="W54" s="266">
        <v>54</v>
      </c>
      <c r="X54" s="266">
        <v>144</v>
      </c>
      <c r="Y54" s="266"/>
      <c r="Z54" s="266"/>
      <c r="AA54" s="266"/>
      <c r="AB54" s="266"/>
      <c r="AC54" s="266"/>
      <c r="AD54" s="266"/>
      <c r="AE54" s="266">
        <f t="shared" si="2"/>
        <v>53</v>
      </c>
      <c r="AF54" s="269">
        <v>2</v>
      </c>
      <c r="AG54" s="269">
        <v>2.2000000000000002</v>
      </c>
      <c r="AH54" s="270">
        <v>79</v>
      </c>
      <c r="AI54" s="270">
        <v>79</v>
      </c>
      <c r="AJ54" s="193" t="s">
        <v>92</v>
      </c>
      <c r="AK54" s="193">
        <v>2006</v>
      </c>
      <c r="AL54" s="193" t="s">
        <v>151</v>
      </c>
      <c r="AM54" s="271">
        <v>38974</v>
      </c>
      <c r="AN54" s="271">
        <v>39885</v>
      </c>
      <c r="AO54" s="271">
        <v>39885</v>
      </c>
      <c r="AP54" s="272">
        <v>39885</v>
      </c>
      <c r="AQ54" s="272">
        <v>40851</v>
      </c>
      <c r="AR54" s="272">
        <v>39029</v>
      </c>
      <c r="AS54" s="272"/>
      <c r="AT54" s="272"/>
      <c r="AU54" s="272"/>
      <c r="AV54" s="277" t="s">
        <v>70</v>
      </c>
      <c r="AW54" s="274" t="s">
        <v>70</v>
      </c>
      <c r="AX54" s="272"/>
      <c r="AY54" s="272">
        <v>40009</v>
      </c>
      <c r="AZ54" s="272">
        <v>40507</v>
      </c>
      <c r="BA54" s="272">
        <v>40842</v>
      </c>
      <c r="BB54" s="272">
        <v>41087</v>
      </c>
      <c r="BC54" s="272">
        <v>41088</v>
      </c>
      <c r="BD54" s="272">
        <v>41817</v>
      </c>
      <c r="BE54" s="272">
        <v>41911</v>
      </c>
      <c r="BF54" s="272">
        <v>42100</v>
      </c>
      <c r="BG54" s="323"/>
      <c r="BH54" s="285" t="s">
        <v>1518</v>
      </c>
    </row>
    <row r="55" spans="1:60" s="61" customFormat="1" ht="20.100000000000001" customHeight="1">
      <c r="A55" s="190">
        <v>50</v>
      </c>
      <c r="B55" s="193" t="s">
        <v>71</v>
      </c>
      <c r="C55" s="192" t="s">
        <v>137</v>
      </c>
      <c r="D55" s="192" t="s">
        <v>1449</v>
      </c>
      <c r="E55" s="192" t="s">
        <v>152</v>
      </c>
      <c r="F55" s="192" t="s">
        <v>153</v>
      </c>
      <c r="G55" s="266">
        <v>190493</v>
      </c>
      <c r="H55" s="193">
        <v>1982</v>
      </c>
      <c r="I55" s="266">
        <v>70</v>
      </c>
      <c r="J55" s="266">
        <f t="shared" ref="J55:J61" si="5">SUM(K55:O55)</f>
        <v>2820</v>
      </c>
      <c r="K55" s="266"/>
      <c r="L55" s="266">
        <v>2820</v>
      </c>
      <c r="M55" s="266"/>
      <c r="N55" s="266"/>
      <c r="O55" s="266"/>
      <c r="P55" s="268">
        <f t="shared" ref="P55:P61" si="6">SUM(Q55:S55)</f>
        <v>3391</v>
      </c>
      <c r="Q55" s="268">
        <v>2836</v>
      </c>
      <c r="R55" s="268">
        <v>555</v>
      </c>
      <c r="S55" s="268"/>
      <c r="T55" s="268">
        <f t="shared" si="3"/>
        <v>3391</v>
      </c>
      <c r="U55" s="266">
        <f t="shared" ref="U55:U61" si="7">SUM(V55:Z55)</f>
        <v>3391</v>
      </c>
      <c r="V55" s="266"/>
      <c r="W55" s="266">
        <v>687</v>
      </c>
      <c r="X55" s="266">
        <v>1748</v>
      </c>
      <c r="Y55" s="266">
        <v>956</v>
      </c>
      <c r="Z55" s="266"/>
      <c r="AA55" s="266"/>
      <c r="AB55" s="266"/>
      <c r="AC55" s="266"/>
      <c r="AD55" s="266"/>
      <c r="AE55" s="266">
        <f t="shared" si="2"/>
        <v>571</v>
      </c>
      <c r="AF55" s="269">
        <v>0.873</v>
      </c>
      <c r="AG55" s="269">
        <v>2.4946000000000002</v>
      </c>
      <c r="AH55" s="270">
        <v>2918</v>
      </c>
      <c r="AI55" s="270">
        <v>2595</v>
      </c>
      <c r="AJ55" s="193" t="s">
        <v>92</v>
      </c>
      <c r="AK55" s="193">
        <v>2002</v>
      </c>
      <c r="AL55" s="193">
        <v>2008</v>
      </c>
      <c r="AM55" s="271" t="s">
        <v>126</v>
      </c>
      <c r="AN55" s="271"/>
      <c r="AO55" s="271"/>
      <c r="AP55" s="272">
        <v>38345</v>
      </c>
      <c r="AQ55" s="272"/>
      <c r="AR55" s="272"/>
      <c r="AS55" s="272"/>
      <c r="AT55" s="272"/>
      <c r="AU55" s="272">
        <v>36906</v>
      </c>
      <c r="AV55" s="277" t="s">
        <v>70</v>
      </c>
      <c r="AW55" s="274" t="s">
        <v>70</v>
      </c>
      <c r="AX55" s="272"/>
      <c r="AY55" s="272">
        <v>37392</v>
      </c>
      <c r="AZ55" s="272">
        <v>38352</v>
      </c>
      <c r="BA55" s="272">
        <v>38468</v>
      </c>
      <c r="BB55" s="272">
        <v>38488</v>
      </c>
      <c r="BC55" s="272">
        <v>38506</v>
      </c>
      <c r="BD55" s="272">
        <v>39577</v>
      </c>
      <c r="BE55" s="272">
        <v>40386</v>
      </c>
      <c r="BF55" s="272">
        <v>41243</v>
      </c>
      <c r="BG55" s="323"/>
      <c r="BH55" s="285" t="s">
        <v>1514</v>
      </c>
    </row>
    <row r="56" spans="1:60" s="61" customFormat="1" ht="20.100000000000001" customHeight="1">
      <c r="A56" s="190">
        <v>51</v>
      </c>
      <c r="B56" s="193" t="s">
        <v>71</v>
      </c>
      <c r="C56" s="192" t="s">
        <v>137</v>
      </c>
      <c r="D56" s="192" t="s">
        <v>73</v>
      </c>
      <c r="E56" s="192" t="s">
        <v>154</v>
      </c>
      <c r="F56" s="192" t="s">
        <v>155</v>
      </c>
      <c r="G56" s="266">
        <v>23239</v>
      </c>
      <c r="H56" s="193">
        <v>1979</v>
      </c>
      <c r="I56" s="266">
        <v>10</v>
      </c>
      <c r="J56" s="266">
        <f t="shared" si="5"/>
        <v>590</v>
      </c>
      <c r="K56" s="266">
        <v>222</v>
      </c>
      <c r="L56" s="266">
        <v>116</v>
      </c>
      <c r="M56" s="266">
        <v>185</v>
      </c>
      <c r="N56" s="266">
        <v>45</v>
      </c>
      <c r="O56" s="266">
        <v>22</v>
      </c>
      <c r="P56" s="268">
        <f t="shared" si="6"/>
        <v>431</v>
      </c>
      <c r="Q56" s="268">
        <v>287</v>
      </c>
      <c r="R56" s="268">
        <v>114</v>
      </c>
      <c r="S56" s="268">
        <v>30</v>
      </c>
      <c r="T56" s="268">
        <f t="shared" si="3"/>
        <v>431</v>
      </c>
      <c r="U56" s="266">
        <f t="shared" si="7"/>
        <v>401</v>
      </c>
      <c r="V56" s="266"/>
      <c r="W56" s="266"/>
      <c r="X56" s="266">
        <v>86</v>
      </c>
      <c r="Y56" s="266">
        <v>219</v>
      </c>
      <c r="Z56" s="266">
        <v>96</v>
      </c>
      <c r="AA56" s="266">
        <f>SUM(AB56:AD56)</f>
        <v>30</v>
      </c>
      <c r="AB56" s="266"/>
      <c r="AC56" s="266">
        <v>30</v>
      </c>
      <c r="AD56" s="266"/>
      <c r="AE56" s="266">
        <f t="shared" si="2"/>
        <v>-159</v>
      </c>
      <c r="AF56" s="269">
        <v>0.6</v>
      </c>
      <c r="AG56" s="269">
        <v>2.4918</v>
      </c>
      <c r="AH56" s="270">
        <v>339</v>
      </c>
      <c r="AI56" s="270">
        <v>339</v>
      </c>
      <c r="AJ56" s="193" t="s">
        <v>92</v>
      </c>
      <c r="AK56" s="193">
        <v>1997</v>
      </c>
      <c r="AL56" s="193">
        <v>2009</v>
      </c>
      <c r="AM56" s="271" t="s">
        <v>126</v>
      </c>
      <c r="AN56" s="271"/>
      <c r="AO56" s="271"/>
      <c r="AP56" s="272">
        <v>38484</v>
      </c>
      <c r="AQ56" s="272"/>
      <c r="AR56" s="272"/>
      <c r="AS56" s="272"/>
      <c r="AT56" s="272"/>
      <c r="AU56" s="272">
        <v>35094</v>
      </c>
      <c r="AV56" s="277" t="s">
        <v>70</v>
      </c>
      <c r="AW56" s="274" t="s">
        <v>70</v>
      </c>
      <c r="AX56" s="272"/>
      <c r="AY56" s="272">
        <v>35487</v>
      </c>
      <c r="AZ56" s="272">
        <v>38489</v>
      </c>
      <c r="BA56" s="272">
        <v>38712</v>
      </c>
      <c r="BB56" s="272">
        <v>39056</v>
      </c>
      <c r="BC56" s="272">
        <v>39065</v>
      </c>
      <c r="BD56" s="272">
        <v>40080</v>
      </c>
      <c r="BE56" s="272">
        <v>40102</v>
      </c>
      <c r="BF56" s="272">
        <v>40556</v>
      </c>
      <c r="BG56" s="276"/>
      <c r="BH56" s="285" t="s">
        <v>1514</v>
      </c>
    </row>
    <row r="57" spans="1:60" s="61" customFormat="1" ht="20.100000000000001" customHeight="1">
      <c r="A57" s="190">
        <v>52</v>
      </c>
      <c r="B57" s="193" t="s">
        <v>71</v>
      </c>
      <c r="C57" s="192" t="s">
        <v>1445</v>
      </c>
      <c r="D57" s="192" t="s">
        <v>73</v>
      </c>
      <c r="E57" s="192" t="s">
        <v>156</v>
      </c>
      <c r="F57" s="192" t="s">
        <v>157</v>
      </c>
      <c r="G57" s="266">
        <v>96058.4</v>
      </c>
      <c r="H57" s="193">
        <v>1983</v>
      </c>
      <c r="I57" s="266">
        <v>73</v>
      </c>
      <c r="J57" s="266">
        <f t="shared" si="5"/>
        <v>1166</v>
      </c>
      <c r="K57" s="266">
        <v>81</v>
      </c>
      <c r="L57" s="266">
        <v>335</v>
      </c>
      <c r="M57" s="266">
        <v>539</v>
      </c>
      <c r="N57" s="266">
        <v>132</v>
      </c>
      <c r="O57" s="266">
        <v>79</v>
      </c>
      <c r="P57" s="268">
        <f t="shared" si="6"/>
        <v>1754</v>
      </c>
      <c r="Q57" s="268">
        <v>1149</v>
      </c>
      <c r="R57" s="268">
        <v>411</v>
      </c>
      <c r="S57" s="268">
        <v>194</v>
      </c>
      <c r="T57" s="268">
        <f t="shared" si="3"/>
        <v>1754</v>
      </c>
      <c r="U57" s="266">
        <f t="shared" si="7"/>
        <v>1560</v>
      </c>
      <c r="V57" s="266"/>
      <c r="W57" s="266">
        <v>174</v>
      </c>
      <c r="X57" s="266">
        <v>708</v>
      </c>
      <c r="Y57" s="266">
        <v>378</v>
      </c>
      <c r="Z57" s="266">
        <v>300</v>
      </c>
      <c r="AA57" s="266">
        <f>SUM(AB57:AD57)</f>
        <v>194</v>
      </c>
      <c r="AB57" s="266">
        <v>194</v>
      </c>
      <c r="AC57" s="266"/>
      <c r="AD57" s="266"/>
      <c r="AE57" s="266">
        <f t="shared" si="2"/>
        <v>588</v>
      </c>
      <c r="AF57" s="269">
        <v>1.6</v>
      </c>
      <c r="AG57" s="269">
        <v>2.3997000000000002</v>
      </c>
      <c r="AH57" s="270">
        <v>1015</v>
      </c>
      <c r="AI57" s="270">
        <v>1015</v>
      </c>
      <c r="AJ57" s="193" t="s">
        <v>92</v>
      </c>
      <c r="AK57" s="193">
        <v>2003</v>
      </c>
      <c r="AL57" s="193">
        <v>2011</v>
      </c>
      <c r="AM57" s="271" t="s">
        <v>126</v>
      </c>
      <c r="AN57" s="271"/>
      <c r="AO57" s="271"/>
      <c r="AP57" s="272">
        <v>38362</v>
      </c>
      <c r="AQ57" s="272"/>
      <c r="AR57" s="272"/>
      <c r="AS57" s="272"/>
      <c r="AT57" s="272"/>
      <c r="AU57" s="272">
        <v>37764</v>
      </c>
      <c r="AV57" s="277" t="s">
        <v>70</v>
      </c>
      <c r="AW57" s="274" t="s">
        <v>70</v>
      </c>
      <c r="AX57" s="272"/>
      <c r="AY57" s="272">
        <v>37791</v>
      </c>
      <c r="AZ57" s="272">
        <v>38429</v>
      </c>
      <c r="BA57" s="272">
        <v>38712</v>
      </c>
      <c r="BB57" s="272">
        <v>39386</v>
      </c>
      <c r="BC57" s="272"/>
      <c r="BD57" s="272">
        <v>40807</v>
      </c>
      <c r="BE57" s="272">
        <v>40890</v>
      </c>
      <c r="BF57" s="272">
        <v>41979</v>
      </c>
      <c r="BG57" s="323">
        <v>43426</v>
      </c>
      <c r="BH57" s="285" t="s">
        <v>1514</v>
      </c>
    </row>
    <row r="58" spans="1:60" s="61" customFormat="1" ht="20.100000000000001" customHeight="1">
      <c r="A58" s="190">
        <v>53</v>
      </c>
      <c r="B58" s="193" t="s">
        <v>71</v>
      </c>
      <c r="C58" s="192" t="s">
        <v>1445</v>
      </c>
      <c r="D58" s="192" t="s">
        <v>73</v>
      </c>
      <c r="E58" s="192" t="s">
        <v>158</v>
      </c>
      <c r="F58" s="192" t="s">
        <v>159</v>
      </c>
      <c r="G58" s="266">
        <v>24784</v>
      </c>
      <c r="H58" s="193">
        <v>1982</v>
      </c>
      <c r="I58" s="266">
        <v>11</v>
      </c>
      <c r="J58" s="266">
        <f t="shared" si="5"/>
        <v>350</v>
      </c>
      <c r="K58" s="266">
        <v>17</v>
      </c>
      <c r="L58" s="266">
        <v>106</v>
      </c>
      <c r="M58" s="266">
        <v>175</v>
      </c>
      <c r="N58" s="266">
        <v>35</v>
      </c>
      <c r="O58" s="266">
        <v>17</v>
      </c>
      <c r="P58" s="268">
        <f t="shared" si="6"/>
        <v>481</v>
      </c>
      <c r="Q58" s="268">
        <v>343</v>
      </c>
      <c r="R58" s="268">
        <v>138</v>
      </c>
      <c r="S58" s="268"/>
      <c r="T58" s="268">
        <f t="shared" si="3"/>
        <v>481</v>
      </c>
      <c r="U58" s="266">
        <f t="shared" si="7"/>
        <v>481</v>
      </c>
      <c r="V58" s="266"/>
      <c r="W58" s="266"/>
      <c r="X58" s="266">
        <v>109</v>
      </c>
      <c r="Y58" s="266">
        <v>284</v>
      </c>
      <c r="Z58" s="266">
        <v>88</v>
      </c>
      <c r="AA58" s="266"/>
      <c r="AB58" s="266"/>
      <c r="AC58" s="266"/>
      <c r="AD58" s="266"/>
      <c r="AE58" s="266">
        <f t="shared" si="2"/>
        <v>131</v>
      </c>
      <c r="AF58" s="269">
        <v>1.4</v>
      </c>
      <c r="AG58" s="269">
        <v>2.2913000000000001</v>
      </c>
      <c r="AH58" s="270">
        <v>355</v>
      </c>
      <c r="AI58" s="270">
        <v>355</v>
      </c>
      <c r="AJ58" s="193" t="s">
        <v>92</v>
      </c>
      <c r="AK58" s="193">
        <v>1999</v>
      </c>
      <c r="AL58" s="193">
        <v>2009</v>
      </c>
      <c r="AM58" s="271" t="s">
        <v>126</v>
      </c>
      <c r="AN58" s="271"/>
      <c r="AO58" s="271"/>
      <c r="AP58" s="272">
        <v>38299</v>
      </c>
      <c r="AQ58" s="272"/>
      <c r="AR58" s="272"/>
      <c r="AS58" s="272"/>
      <c r="AT58" s="272"/>
      <c r="AU58" s="272">
        <v>36494</v>
      </c>
      <c r="AV58" s="277" t="s">
        <v>70</v>
      </c>
      <c r="AW58" s="274" t="s">
        <v>70</v>
      </c>
      <c r="AX58" s="272"/>
      <c r="AY58" s="272">
        <v>36486</v>
      </c>
      <c r="AZ58" s="272">
        <v>38343</v>
      </c>
      <c r="BA58" s="272">
        <v>38479</v>
      </c>
      <c r="BB58" s="272">
        <v>38485</v>
      </c>
      <c r="BC58" s="272">
        <v>38498</v>
      </c>
      <c r="BD58" s="272">
        <v>40018</v>
      </c>
      <c r="BE58" s="272">
        <v>40050</v>
      </c>
      <c r="BF58" s="272"/>
      <c r="BG58" s="323">
        <v>41820</v>
      </c>
      <c r="BH58" s="285" t="s">
        <v>1514</v>
      </c>
    </row>
    <row r="59" spans="1:60" s="61" customFormat="1" ht="20.100000000000001" customHeight="1">
      <c r="A59" s="190">
        <v>54</v>
      </c>
      <c r="B59" s="193" t="s">
        <v>71</v>
      </c>
      <c r="C59" s="192" t="s">
        <v>1445</v>
      </c>
      <c r="D59" s="192" t="s">
        <v>73</v>
      </c>
      <c r="E59" s="192" t="s">
        <v>160</v>
      </c>
      <c r="F59" s="192" t="s">
        <v>161</v>
      </c>
      <c r="G59" s="266">
        <v>84660</v>
      </c>
      <c r="H59" s="193">
        <v>1978</v>
      </c>
      <c r="I59" s="266">
        <v>36</v>
      </c>
      <c r="J59" s="266">
        <f t="shared" si="5"/>
        <v>1630</v>
      </c>
      <c r="K59" s="266">
        <v>120</v>
      </c>
      <c r="L59" s="266">
        <v>482</v>
      </c>
      <c r="M59" s="266">
        <v>715</v>
      </c>
      <c r="N59" s="266">
        <v>193</v>
      </c>
      <c r="O59" s="266">
        <v>120</v>
      </c>
      <c r="P59" s="268">
        <f t="shared" si="6"/>
        <v>1690</v>
      </c>
      <c r="Q59" s="268">
        <v>1545</v>
      </c>
      <c r="R59" s="268">
        <v>18</v>
      </c>
      <c r="S59" s="268">
        <v>127</v>
      </c>
      <c r="T59" s="268">
        <f t="shared" si="3"/>
        <v>1690</v>
      </c>
      <c r="U59" s="266">
        <f t="shared" si="7"/>
        <v>1563</v>
      </c>
      <c r="V59" s="266"/>
      <c r="W59" s="266"/>
      <c r="X59" s="266">
        <v>267</v>
      </c>
      <c r="Y59" s="266">
        <v>1148</v>
      </c>
      <c r="Z59" s="266">
        <v>148</v>
      </c>
      <c r="AA59" s="266">
        <v>127</v>
      </c>
      <c r="AB59" s="266"/>
      <c r="AC59" s="266"/>
      <c r="AD59" s="266">
        <v>127</v>
      </c>
      <c r="AE59" s="266">
        <f t="shared" si="2"/>
        <v>60</v>
      </c>
      <c r="AF59" s="269">
        <v>1.1000000000000001</v>
      </c>
      <c r="AG59" s="269">
        <v>2.4295</v>
      </c>
      <c r="AH59" s="270">
        <v>1392</v>
      </c>
      <c r="AI59" s="270">
        <v>1392</v>
      </c>
      <c r="AJ59" s="193" t="s">
        <v>92</v>
      </c>
      <c r="AK59" s="193">
        <v>2001</v>
      </c>
      <c r="AL59" s="193">
        <v>2009</v>
      </c>
      <c r="AM59" s="271" t="s">
        <v>126</v>
      </c>
      <c r="AN59" s="271"/>
      <c r="AO59" s="271"/>
      <c r="AP59" s="272">
        <v>38439</v>
      </c>
      <c r="AQ59" s="272"/>
      <c r="AR59" s="272"/>
      <c r="AS59" s="272"/>
      <c r="AT59" s="272"/>
      <c r="AU59" s="272">
        <v>36879</v>
      </c>
      <c r="AV59" s="277" t="s">
        <v>70</v>
      </c>
      <c r="AW59" s="274" t="s">
        <v>70</v>
      </c>
      <c r="AX59" s="272"/>
      <c r="AY59" s="272">
        <v>37246</v>
      </c>
      <c r="AZ59" s="272">
        <v>38448</v>
      </c>
      <c r="BA59" s="272">
        <v>38709</v>
      </c>
      <c r="BB59" s="272">
        <v>38894</v>
      </c>
      <c r="BC59" s="272">
        <v>39052</v>
      </c>
      <c r="BD59" s="272">
        <v>40164</v>
      </c>
      <c r="BE59" s="272">
        <v>40255</v>
      </c>
      <c r="BF59" s="272">
        <v>40526</v>
      </c>
      <c r="BG59" s="323">
        <v>41830</v>
      </c>
      <c r="BH59" s="285" t="s">
        <v>1514</v>
      </c>
    </row>
    <row r="60" spans="1:60" s="61" customFormat="1" ht="20.100000000000001" customHeight="1">
      <c r="A60" s="190">
        <v>55</v>
      </c>
      <c r="B60" s="193" t="s">
        <v>71</v>
      </c>
      <c r="C60" s="192" t="s">
        <v>1445</v>
      </c>
      <c r="D60" s="192" t="s">
        <v>73</v>
      </c>
      <c r="E60" s="192" t="s">
        <v>162</v>
      </c>
      <c r="F60" s="192" t="s">
        <v>163</v>
      </c>
      <c r="G60" s="266">
        <v>61894</v>
      </c>
      <c r="H60" s="193">
        <v>1985</v>
      </c>
      <c r="I60" s="266">
        <v>34</v>
      </c>
      <c r="J60" s="266">
        <f t="shared" si="5"/>
        <v>758</v>
      </c>
      <c r="K60" s="266">
        <v>21</v>
      </c>
      <c r="L60" s="266">
        <v>219</v>
      </c>
      <c r="M60" s="266">
        <v>421</v>
      </c>
      <c r="N60" s="266">
        <v>76</v>
      </c>
      <c r="O60" s="266">
        <v>21</v>
      </c>
      <c r="P60" s="268">
        <f t="shared" si="6"/>
        <v>1018</v>
      </c>
      <c r="Q60" s="268">
        <v>727</v>
      </c>
      <c r="R60" s="268">
        <v>188</v>
      </c>
      <c r="S60" s="268">
        <v>103</v>
      </c>
      <c r="T60" s="268">
        <f t="shared" si="3"/>
        <v>1018</v>
      </c>
      <c r="U60" s="266">
        <f t="shared" si="7"/>
        <v>915</v>
      </c>
      <c r="V60" s="266" t="s">
        <v>164</v>
      </c>
      <c r="W60" s="266">
        <v>370</v>
      </c>
      <c r="X60" s="266">
        <v>210</v>
      </c>
      <c r="Y60" s="266">
        <v>170</v>
      </c>
      <c r="Z60" s="266">
        <v>165</v>
      </c>
      <c r="AA60" s="266">
        <f>SUM(AB60:AD60)</f>
        <v>103</v>
      </c>
      <c r="AB60" s="266">
        <v>103</v>
      </c>
      <c r="AC60" s="266"/>
      <c r="AD60" s="266"/>
      <c r="AE60" s="266">
        <f t="shared" si="2"/>
        <v>260</v>
      </c>
      <c r="AF60" s="269">
        <v>0.9</v>
      </c>
      <c r="AG60" s="269">
        <v>2.2936000000000001</v>
      </c>
      <c r="AH60" s="270">
        <v>728</v>
      </c>
      <c r="AI60" s="270">
        <v>728</v>
      </c>
      <c r="AJ60" s="193" t="s">
        <v>92</v>
      </c>
      <c r="AK60" s="193">
        <v>2003</v>
      </c>
      <c r="AL60" s="193">
        <v>2009</v>
      </c>
      <c r="AM60" s="271" t="s">
        <v>126</v>
      </c>
      <c r="AN60" s="271"/>
      <c r="AO60" s="271"/>
      <c r="AP60" s="272">
        <v>38446</v>
      </c>
      <c r="AQ60" s="272"/>
      <c r="AR60" s="272"/>
      <c r="AS60" s="272"/>
      <c r="AT60" s="272"/>
      <c r="AU60" s="272">
        <v>37718</v>
      </c>
      <c r="AV60" s="277" t="s">
        <v>70</v>
      </c>
      <c r="AW60" s="274" t="s">
        <v>70</v>
      </c>
      <c r="AX60" s="272"/>
      <c r="AY60" s="272">
        <v>37802</v>
      </c>
      <c r="AZ60" s="272">
        <v>38468</v>
      </c>
      <c r="BA60" s="272">
        <v>38702</v>
      </c>
      <c r="BB60" s="272">
        <v>39037</v>
      </c>
      <c r="BC60" s="272">
        <v>39057</v>
      </c>
      <c r="BD60" s="272">
        <v>39895</v>
      </c>
      <c r="BE60" s="272">
        <v>39906</v>
      </c>
      <c r="BF60" s="272">
        <v>40780</v>
      </c>
      <c r="BG60" s="323">
        <v>42871</v>
      </c>
      <c r="BH60" s="285" t="s">
        <v>1514</v>
      </c>
    </row>
    <row r="61" spans="1:60" s="61" customFormat="1" ht="20.100000000000001" customHeight="1">
      <c r="A61" s="190">
        <v>56</v>
      </c>
      <c r="B61" s="193" t="s">
        <v>71</v>
      </c>
      <c r="C61" s="192" t="s">
        <v>1445</v>
      </c>
      <c r="D61" s="192" t="s">
        <v>73</v>
      </c>
      <c r="E61" s="192" t="s">
        <v>165</v>
      </c>
      <c r="F61" s="192" t="s">
        <v>166</v>
      </c>
      <c r="G61" s="266">
        <v>134582.39999999999</v>
      </c>
      <c r="H61" s="193">
        <v>1986</v>
      </c>
      <c r="I61" s="266">
        <v>64</v>
      </c>
      <c r="J61" s="266">
        <f t="shared" si="5"/>
        <v>1990</v>
      </c>
      <c r="K61" s="266">
        <v>123</v>
      </c>
      <c r="L61" s="266">
        <v>575</v>
      </c>
      <c r="M61" s="266">
        <v>941</v>
      </c>
      <c r="N61" s="266">
        <v>228</v>
      </c>
      <c r="O61" s="266">
        <v>123</v>
      </c>
      <c r="P61" s="268">
        <f t="shared" si="6"/>
        <v>2571</v>
      </c>
      <c r="Q61" s="268">
        <v>1973</v>
      </c>
      <c r="R61" s="268">
        <v>388</v>
      </c>
      <c r="S61" s="268">
        <v>210</v>
      </c>
      <c r="T61" s="268">
        <f t="shared" si="3"/>
        <v>2571</v>
      </c>
      <c r="U61" s="266">
        <f t="shared" si="7"/>
        <v>2361</v>
      </c>
      <c r="V61" s="266"/>
      <c r="W61" s="266">
        <v>515</v>
      </c>
      <c r="X61" s="266">
        <v>820</v>
      </c>
      <c r="Y61" s="266">
        <v>814</v>
      </c>
      <c r="Z61" s="266">
        <v>212</v>
      </c>
      <c r="AA61" s="266">
        <f>SUM(AB61:AD61)</f>
        <v>210</v>
      </c>
      <c r="AB61" s="266"/>
      <c r="AC61" s="266"/>
      <c r="AD61" s="266">
        <v>210</v>
      </c>
      <c r="AE61" s="266">
        <f t="shared" si="2"/>
        <v>581</v>
      </c>
      <c r="AF61" s="269">
        <v>0.8</v>
      </c>
      <c r="AG61" s="269">
        <v>2.4548000000000001</v>
      </c>
      <c r="AH61" s="270">
        <v>2030</v>
      </c>
      <c r="AI61" s="270">
        <v>1984</v>
      </c>
      <c r="AJ61" s="193" t="s">
        <v>92</v>
      </c>
      <c r="AK61" s="193">
        <v>2003</v>
      </c>
      <c r="AL61" s="193">
        <v>2009</v>
      </c>
      <c r="AM61" s="271" t="s">
        <v>126</v>
      </c>
      <c r="AN61" s="271"/>
      <c r="AO61" s="271"/>
      <c r="AP61" s="272">
        <v>38439</v>
      </c>
      <c r="AQ61" s="272"/>
      <c r="AR61" s="272"/>
      <c r="AS61" s="272"/>
      <c r="AT61" s="272"/>
      <c r="AU61" s="272">
        <v>37694</v>
      </c>
      <c r="AV61" s="277" t="s">
        <v>70</v>
      </c>
      <c r="AW61" s="274" t="s">
        <v>70</v>
      </c>
      <c r="AX61" s="272"/>
      <c r="AY61" s="272">
        <v>37722</v>
      </c>
      <c r="AZ61" s="272">
        <v>38446</v>
      </c>
      <c r="BA61" s="272">
        <v>38701</v>
      </c>
      <c r="BB61" s="272">
        <v>38803</v>
      </c>
      <c r="BC61" s="272">
        <v>38912</v>
      </c>
      <c r="BD61" s="272">
        <v>39821</v>
      </c>
      <c r="BE61" s="272">
        <v>39828</v>
      </c>
      <c r="BF61" s="272">
        <v>40436</v>
      </c>
      <c r="BG61" s="323">
        <v>41276</v>
      </c>
      <c r="BH61" s="285" t="s">
        <v>1514</v>
      </c>
    </row>
    <row r="62" spans="1:60" s="76" customFormat="1" ht="19.5" customHeight="1">
      <c r="A62" s="190">
        <v>57</v>
      </c>
      <c r="B62" s="193" t="s">
        <v>167</v>
      </c>
      <c r="C62" s="192" t="s">
        <v>72</v>
      </c>
      <c r="D62" s="192" t="s">
        <v>73</v>
      </c>
      <c r="E62" s="192" t="s">
        <v>168</v>
      </c>
      <c r="F62" s="192" t="s">
        <v>169</v>
      </c>
      <c r="G62" s="266">
        <v>22374</v>
      </c>
      <c r="H62" s="193">
        <v>1990</v>
      </c>
      <c r="I62" s="266">
        <v>5</v>
      </c>
      <c r="J62" s="266">
        <f t="shared" ref="J62:J72" si="8">SUM(K62:O62)</f>
        <v>585</v>
      </c>
      <c r="K62" s="266">
        <v>585</v>
      </c>
      <c r="L62" s="279"/>
      <c r="M62" s="266"/>
      <c r="N62" s="266"/>
      <c r="O62" s="266"/>
      <c r="P62" s="268"/>
      <c r="Q62" s="268"/>
      <c r="R62" s="268"/>
      <c r="S62" s="268"/>
      <c r="T62" s="268">
        <f t="shared" ref="T62:T75" si="9">U62+AA62</f>
        <v>0</v>
      </c>
      <c r="U62" s="266"/>
      <c r="V62" s="266"/>
      <c r="W62" s="266"/>
      <c r="X62" s="266"/>
      <c r="Y62" s="266"/>
      <c r="Z62" s="266"/>
      <c r="AA62" s="266"/>
      <c r="AB62" s="266"/>
      <c r="AC62" s="266"/>
      <c r="AD62" s="266"/>
      <c r="AE62" s="266">
        <f t="shared" ref="AE62:AE75" si="10">T62-J62</f>
        <v>-585</v>
      </c>
      <c r="AF62" s="269"/>
      <c r="AG62" s="269">
        <v>2.5</v>
      </c>
      <c r="AH62" s="281">
        <v>585</v>
      </c>
      <c r="AI62" s="281"/>
      <c r="AJ62" s="193"/>
      <c r="AK62" s="193"/>
      <c r="AL62" s="193"/>
      <c r="AM62" s="271">
        <v>43612</v>
      </c>
      <c r="AN62" s="271">
        <v>44196</v>
      </c>
      <c r="AO62" s="272"/>
      <c r="AP62" s="272"/>
      <c r="AQ62" s="272"/>
      <c r="AR62" s="272"/>
      <c r="AS62" s="272">
        <v>45219</v>
      </c>
      <c r="AT62" s="272"/>
      <c r="AU62" s="272"/>
      <c r="AV62" s="277" t="s">
        <v>70</v>
      </c>
      <c r="AW62" s="274" t="s">
        <v>70</v>
      </c>
      <c r="AX62" s="272"/>
      <c r="AY62" s="272"/>
      <c r="AZ62" s="272"/>
      <c r="BA62" s="272"/>
      <c r="BB62" s="272"/>
      <c r="BC62" s="272"/>
      <c r="BD62" s="272"/>
      <c r="BE62" s="272"/>
      <c r="BF62" s="272"/>
      <c r="BG62" s="323"/>
      <c r="BH62" s="285" t="s">
        <v>1522</v>
      </c>
    </row>
    <row r="63" spans="1:60" s="76" customFormat="1" ht="20.100000000000001" customHeight="1">
      <c r="A63" s="190">
        <v>58</v>
      </c>
      <c r="B63" s="193" t="s">
        <v>167</v>
      </c>
      <c r="C63" s="192" t="s">
        <v>72</v>
      </c>
      <c r="D63" s="192" t="s">
        <v>73</v>
      </c>
      <c r="E63" s="192" t="s">
        <v>170</v>
      </c>
      <c r="F63" s="192" t="s">
        <v>171</v>
      </c>
      <c r="G63" s="266">
        <v>8533</v>
      </c>
      <c r="H63" s="193">
        <v>1991</v>
      </c>
      <c r="I63" s="266">
        <v>3</v>
      </c>
      <c r="J63" s="266">
        <f t="shared" si="8"/>
        <v>426</v>
      </c>
      <c r="K63" s="266">
        <v>426</v>
      </c>
      <c r="L63" s="279"/>
      <c r="M63" s="266"/>
      <c r="N63" s="266"/>
      <c r="O63" s="266"/>
      <c r="P63" s="268"/>
      <c r="Q63" s="268"/>
      <c r="R63" s="268"/>
      <c r="S63" s="268"/>
      <c r="T63" s="268">
        <f t="shared" si="9"/>
        <v>0</v>
      </c>
      <c r="U63" s="266"/>
      <c r="V63" s="266"/>
      <c r="W63" s="266"/>
      <c r="X63" s="266"/>
      <c r="Y63" s="266"/>
      <c r="Z63" s="266"/>
      <c r="AA63" s="266"/>
      <c r="AB63" s="266"/>
      <c r="AC63" s="266"/>
      <c r="AD63" s="266"/>
      <c r="AE63" s="266">
        <f t="shared" si="10"/>
        <v>-426</v>
      </c>
      <c r="AF63" s="269"/>
      <c r="AG63" s="269">
        <v>2.5</v>
      </c>
      <c r="AH63" s="281">
        <v>426</v>
      </c>
      <c r="AI63" s="281"/>
      <c r="AJ63" s="193"/>
      <c r="AK63" s="193"/>
      <c r="AL63" s="193"/>
      <c r="AM63" s="271">
        <v>43612</v>
      </c>
      <c r="AN63" s="271">
        <v>44926</v>
      </c>
      <c r="AO63" s="272"/>
      <c r="AP63" s="272"/>
      <c r="AQ63" s="272"/>
      <c r="AR63" s="272"/>
      <c r="AS63" s="272"/>
      <c r="AT63" s="272"/>
      <c r="AU63" s="272"/>
      <c r="AV63" s="277" t="s">
        <v>70</v>
      </c>
      <c r="AW63" s="274" t="s">
        <v>70</v>
      </c>
      <c r="AX63" s="272"/>
      <c r="AY63" s="272"/>
      <c r="AZ63" s="272"/>
      <c r="BA63" s="272"/>
      <c r="BB63" s="272"/>
      <c r="BC63" s="272"/>
      <c r="BD63" s="272"/>
      <c r="BE63" s="272"/>
      <c r="BF63" s="272"/>
      <c r="BG63" s="323"/>
      <c r="BH63" s="285" t="s">
        <v>1522</v>
      </c>
    </row>
    <row r="64" spans="1:60" s="76" customFormat="1" ht="20.100000000000001" customHeight="1">
      <c r="A64" s="190">
        <v>59</v>
      </c>
      <c r="B64" s="193" t="s">
        <v>167</v>
      </c>
      <c r="C64" s="192" t="s">
        <v>72</v>
      </c>
      <c r="D64" s="192" t="s">
        <v>73</v>
      </c>
      <c r="E64" s="192" t="s">
        <v>172</v>
      </c>
      <c r="F64" s="192" t="s">
        <v>173</v>
      </c>
      <c r="G64" s="266">
        <v>12251</v>
      </c>
      <c r="H64" s="193">
        <v>1991</v>
      </c>
      <c r="I64" s="266">
        <v>4</v>
      </c>
      <c r="J64" s="266">
        <f t="shared" si="8"/>
        <v>498</v>
      </c>
      <c r="K64" s="266">
        <v>498</v>
      </c>
      <c r="L64" s="279"/>
      <c r="M64" s="266"/>
      <c r="N64" s="266"/>
      <c r="O64" s="266"/>
      <c r="P64" s="268"/>
      <c r="Q64" s="268"/>
      <c r="R64" s="268"/>
      <c r="S64" s="268"/>
      <c r="T64" s="268">
        <f t="shared" si="9"/>
        <v>0</v>
      </c>
      <c r="U64" s="266"/>
      <c r="V64" s="266"/>
      <c r="W64" s="266"/>
      <c r="X64" s="266"/>
      <c r="Y64" s="266"/>
      <c r="Z64" s="266"/>
      <c r="AA64" s="266"/>
      <c r="AB64" s="266"/>
      <c r="AC64" s="266"/>
      <c r="AD64" s="266"/>
      <c r="AE64" s="266">
        <f t="shared" si="10"/>
        <v>-498</v>
      </c>
      <c r="AF64" s="269"/>
      <c r="AG64" s="269">
        <v>2.5</v>
      </c>
      <c r="AH64" s="281">
        <v>498</v>
      </c>
      <c r="AI64" s="281"/>
      <c r="AJ64" s="193"/>
      <c r="AK64" s="193"/>
      <c r="AL64" s="193"/>
      <c r="AM64" s="271">
        <v>43612</v>
      </c>
      <c r="AN64" s="271">
        <v>44926</v>
      </c>
      <c r="AO64" s="272"/>
      <c r="AP64" s="272"/>
      <c r="AQ64" s="272"/>
      <c r="AR64" s="272"/>
      <c r="AS64" s="272">
        <v>44742</v>
      </c>
      <c r="AT64" s="272"/>
      <c r="AU64" s="272"/>
      <c r="AV64" s="277" t="s">
        <v>70</v>
      </c>
      <c r="AW64" s="274" t="s">
        <v>70</v>
      </c>
      <c r="AX64" s="272"/>
      <c r="AY64" s="272"/>
      <c r="AZ64" s="272"/>
      <c r="BA64" s="272"/>
      <c r="BB64" s="272"/>
      <c r="BC64" s="272"/>
      <c r="BD64" s="272"/>
      <c r="BE64" s="272"/>
      <c r="BF64" s="272"/>
      <c r="BG64" s="323"/>
      <c r="BH64" s="285" t="s">
        <v>1523</v>
      </c>
    </row>
    <row r="65" spans="1:60" s="76" customFormat="1" ht="20.100000000000001" customHeight="1">
      <c r="A65" s="190">
        <v>60</v>
      </c>
      <c r="B65" s="193" t="s">
        <v>167</v>
      </c>
      <c r="C65" s="192" t="s">
        <v>72</v>
      </c>
      <c r="D65" s="192" t="s">
        <v>73</v>
      </c>
      <c r="E65" s="192" t="s">
        <v>174</v>
      </c>
      <c r="F65" s="192" t="s">
        <v>175</v>
      </c>
      <c r="G65" s="266">
        <v>6067</v>
      </c>
      <c r="H65" s="193">
        <v>1991</v>
      </c>
      <c r="I65" s="266">
        <v>2</v>
      </c>
      <c r="J65" s="266">
        <f t="shared" si="8"/>
        <v>264</v>
      </c>
      <c r="K65" s="266">
        <v>264</v>
      </c>
      <c r="L65" s="279"/>
      <c r="M65" s="266"/>
      <c r="N65" s="266"/>
      <c r="O65" s="266"/>
      <c r="P65" s="268"/>
      <c r="Q65" s="268"/>
      <c r="R65" s="268"/>
      <c r="S65" s="268"/>
      <c r="T65" s="268">
        <f t="shared" si="9"/>
        <v>0</v>
      </c>
      <c r="U65" s="266"/>
      <c r="V65" s="266"/>
      <c r="W65" s="266"/>
      <c r="X65" s="266"/>
      <c r="Y65" s="266"/>
      <c r="Z65" s="266"/>
      <c r="AA65" s="266"/>
      <c r="AB65" s="266"/>
      <c r="AC65" s="266"/>
      <c r="AD65" s="266"/>
      <c r="AE65" s="266">
        <f t="shared" si="10"/>
        <v>-264</v>
      </c>
      <c r="AF65" s="269"/>
      <c r="AG65" s="269">
        <v>2.5</v>
      </c>
      <c r="AH65" s="281">
        <v>264</v>
      </c>
      <c r="AI65" s="281"/>
      <c r="AJ65" s="193"/>
      <c r="AK65" s="193"/>
      <c r="AL65" s="193"/>
      <c r="AM65" s="271">
        <v>43612</v>
      </c>
      <c r="AN65" s="271">
        <v>44926</v>
      </c>
      <c r="AO65" s="272"/>
      <c r="AP65" s="272"/>
      <c r="AQ65" s="272"/>
      <c r="AR65" s="272"/>
      <c r="AS65" s="272">
        <v>45554</v>
      </c>
      <c r="AT65" s="272"/>
      <c r="AU65" s="275">
        <v>45751</v>
      </c>
      <c r="AV65" s="277" t="s">
        <v>82</v>
      </c>
      <c r="AW65" s="274" t="s">
        <v>70</v>
      </c>
      <c r="AX65" s="272"/>
      <c r="AY65" s="272"/>
      <c r="AZ65" s="272"/>
      <c r="BA65" s="272"/>
      <c r="BB65" s="272"/>
      <c r="BC65" s="272"/>
      <c r="BD65" s="272"/>
      <c r="BE65" s="272"/>
      <c r="BF65" s="272"/>
      <c r="BG65" s="323"/>
      <c r="BH65" s="285" t="s">
        <v>1524</v>
      </c>
    </row>
    <row r="66" spans="1:60" s="76" customFormat="1" ht="20.100000000000001" customHeight="1">
      <c r="A66" s="190">
        <v>61</v>
      </c>
      <c r="B66" s="193" t="s">
        <v>167</v>
      </c>
      <c r="C66" s="192" t="s">
        <v>72</v>
      </c>
      <c r="D66" s="192" t="s">
        <v>73</v>
      </c>
      <c r="E66" s="192" t="s">
        <v>176</v>
      </c>
      <c r="F66" s="192" t="s">
        <v>177</v>
      </c>
      <c r="G66" s="266">
        <v>9741</v>
      </c>
      <c r="H66" s="193">
        <v>1992</v>
      </c>
      <c r="I66" s="266">
        <v>2</v>
      </c>
      <c r="J66" s="266">
        <f t="shared" si="8"/>
        <v>375</v>
      </c>
      <c r="K66" s="266">
        <v>375</v>
      </c>
      <c r="L66" s="279"/>
      <c r="M66" s="266"/>
      <c r="N66" s="266"/>
      <c r="O66" s="266"/>
      <c r="P66" s="268"/>
      <c r="Q66" s="268"/>
      <c r="R66" s="268"/>
      <c r="S66" s="268"/>
      <c r="T66" s="268">
        <f t="shared" si="9"/>
        <v>0</v>
      </c>
      <c r="U66" s="266"/>
      <c r="V66" s="266"/>
      <c r="W66" s="266"/>
      <c r="X66" s="266"/>
      <c r="Y66" s="266"/>
      <c r="Z66" s="266"/>
      <c r="AA66" s="266"/>
      <c r="AB66" s="266"/>
      <c r="AC66" s="266"/>
      <c r="AD66" s="266"/>
      <c r="AE66" s="266">
        <f t="shared" si="10"/>
        <v>-375</v>
      </c>
      <c r="AF66" s="269"/>
      <c r="AG66" s="269">
        <v>2.5</v>
      </c>
      <c r="AH66" s="281">
        <v>375</v>
      </c>
      <c r="AI66" s="281"/>
      <c r="AJ66" s="193"/>
      <c r="AK66" s="193"/>
      <c r="AL66" s="193"/>
      <c r="AM66" s="271">
        <v>43612</v>
      </c>
      <c r="AN66" s="271">
        <v>45657</v>
      </c>
      <c r="AO66" s="272"/>
      <c r="AP66" s="272"/>
      <c r="AQ66" s="272"/>
      <c r="AR66" s="272"/>
      <c r="AS66" s="272">
        <v>45191</v>
      </c>
      <c r="AT66" s="272"/>
      <c r="AU66" s="275">
        <v>45537</v>
      </c>
      <c r="AV66" s="277" t="s">
        <v>82</v>
      </c>
      <c r="AW66" s="274" t="s">
        <v>70</v>
      </c>
      <c r="AX66" s="272"/>
      <c r="AY66" s="272"/>
      <c r="AZ66" s="272"/>
      <c r="BA66" s="272"/>
      <c r="BB66" s="272"/>
      <c r="BC66" s="272"/>
      <c r="BD66" s="272"/>
      <c r="BE66" s="272"/>
      <c r="BF66" s="272"/>
      <c r="BG66" s="323"/>
      <c r="BH66" s="285" t="s">
        <v>1522</v>
      </c>
    </row>
    <row r="67" spans="1:60" s="76" customFormat="1" ht="20.100000000000001" customHeight="1">
      <c r="A67" s="190">
        <v>62</v>
      </c>
      <c r="B67" s="193" t="s">
        <v>167</v>
      </c>
      <c r="C67" s="192" t="s">
        <v>72</v>
      </c>
      <c r="D67" s="192" t="s">
        <v>73</v>
      </c>
      <c r="E67" s="192" t="s">
        <v>178</v>
      </c>
      <c r="F67" s="192" t="s">
        <v>179</v>
      </c>
      <c r="G67" s="266">
        <v>21590</v>
      </c>
      <c r="H67" s="193">
        <v>1993</v>
      </c>
      <c r="I67" s="266">
        <v>6</v>
      </c>
      <c r="J67" s="266">
        <f t="shared" si="8"/>
        <v>570</v>
      </c>
      <c r="K67" s="266">
        <v>570</v>
      </c>
      <c r="L67" s="279"/>
      <c r="M67" s="266"/>
      <c r="N67" s="266"/>
      <c r="O67" s="266"/>
      <c r="P67" s="268"/>
      <c r="Q67" s="268"/>
      <c r="R67" s="268"/>
      <c r="S67" s="268"/>
      <c r="T67" s="268">
        <f t="shared" si="9"/>
        <v>0</v>
      </c>
      <c r="U67" s="266"/>
      <c r="V67" s="266"/>
      <c r="W67" s="266"/>
      <c r="X67" s="266"/>
      <c r="Y67" s="266"/>
      <c r="Z67" s="266"/>
      <c r="AA67" s="266"/>
      <c r="AB67" s="266"/>
      <c r="AC67" s="266"/>
      <c r="AD67" s="266"/>
      <c r="AE67" s="266">
        <f t="shared" si="10"/>
        <v>-570</v>
      </c>
      <c r="AF67" s="269"/>
      <c r="AG67" s="269">
        <v>2.5</v>
      </c>
      <c r="AH67" s="281">
        <v>570</v>
      </c>
      <c r="AI67" s="281"/>
      <c r="AJ67" s="193"/>
      <c r="AK67" s="193"/>
      <c r="AL67" s="193"/>
      <c r="AM67" s="271">
        <v>43612</v>
      </c>
      <c r="AN67" s="271">
        <v>46387</v>
      </c>
      <c r="AO67" s="272"/>
      <c r="AP67" s="272"/>
      <c r="AQ67" s="272"/>
      <c r="AR67" s="272"/>
      <c r="AS67" s="272"/>
      <c r="AT67" s="272"/>
      <c r="AU67" s="272"/>
      <c r="AV67" s="277" t="s">
        <v>70</v>
      </c>
      <c r="AW67" s="274" t="s">
        <v>70</v>
      </c>
      <c r="AX67" s="272"/>
      <c r="AY67" s="272"/>
      <c r="AZ67" s="272"/>
      <c r="BA67" s="272"/>
      <c r="BB67" s="272"/>
      <c r="BC67" s="272"/>
      <c r="BD67" s="272"/>
      <c r="BE67" s="272"/>
      <c r="BF67" s="272"/>
      <c r="BG67" s="323"/>
      <c r="BH67" s="285" t="s">
        <v>1522</v>
      </c>
    </row>
    <row r="68" spans="1:60" s="76" customFormat="1" ht="20.100000000000001" customHeight="1">
      <c r="A68" s="190">
        <v>63</v>
      </c>
      <c r="B68" s="193" t="s">
        <v>167</v>
      </c>
      <c r="C68" s="192" t="s">
        <v>72</v>
      </c>
      <c r="D68" s="192" t="s">
        <v>73</v>
      </c>
      <c r="E68" s="192" t="s">
        <v>180</v>
      </c>
      <c r="F68" s="192" t="s">
        <v>181</v>
      </c>
      <c r="G68" s="266">
        <v>34220</v>
      </c>
      <c r="H68" s="193">
        <v>1993</v>
      </c>
      <c r="I68" s="266">
        <v>11</v>
      </c>
      <c r="J68" s="266">
        <f t="shared" si="8"/>
        <v>990</v>
      </c>
      <c r="K68" s="266">
        <v>990</v>
      </c>
      <c r="L68" s="279"/>
      <c r="M68" s="266"/>
      <c r="N68" s="266"/>
      <c r="O68" s="266"/>
      <c r="P68" s="268"/>
      <c r="Q68" s="268"/>
      <c r="R68" s="268"/>
      <c r="S68" s="268"/>
      <c r="T68" s="268">
        <f t="shared" si="9"/>
        <v>0</v>
      </c>
      <c r="U68" s="266"/>
      <c r="V68" s="266"/>
      <c r="W68" s="266"/>
      <c r="X68" s="266"/>
      <c r="Y68" s="266"/>
      <c r="Z68" s="266"/>
      <c r="AA68" s="266"/>
      <c r="AB68" s="266"/>
      <c r="AC68" s="266"/>
      <c r="AD68" s="266"/>
      <c r="AE68" s="266">
        <f t="shared" si="10"/>
        <v>-990</v>
      </c>
      <c r="AF68" s="269"/>
      <c r="AG68" s="269">
        <v>2.5</v>
      </c>
      <c r="AH68" s="281">
        <v>990</v>
      </c>
      <c r="AI68" s="281"/>
      <c r="AJ68" s="193"/>
      <c r="AK68" s="193"/>
      <c r="AL68" s="193"/>
      <c r="AM68" s="271">
        <v>43612</v>
      </c>
      <c r="AN68" s="271">
        <v>46387</v>
      </c>
      <c r="AO68" s="272"/>
      <c r="AP68" s="272"/>
      <c r="AQ68" s="272"/>
      <c r="AR68" s="272"/>
      <c r="AS68" s="272">
        <v>45706</v>
      </c>
      <c r="AT68" s="272"/>
      <c r="AU68" s="272"/>
      <c r="AV68" s="277" t="s">
        <v>70</v>
      </c>
      <c r="AW68" s="274" t="s">
        <v>70</v>
      </c>
      <c r="AX68" s="272"/>
      <c r="AY68" s="272"/>
      <c r="AZ68" s="272"/>
      <c r="BA68" s="272"/>
      <c r="BB68" s="272"/>
      <c r="BC68" s="272"/>
      <c r="BD68" s="272"/>
      <c r="BE68" s="272"/>
      <c r="BF68" s="272"/>
      <c r="BG68" s="323"/>
      <c r="BH68" s="285" t="s">
        <v>1522</v>
      </c>
    </row>
    <row r="69" spans="1:60" s="76" customFormat="1" ht="20.100000000000001" customHeight="1">
      <c r="A69" s="190">
        <v>64</v>
      </c>
      <c r="B69" s="193" t="s">
        <v>167</v>
      </c>
      <c r="C69" s="192" t="s">
        <v>72</v>
      </c>
      <c r="D69" s="192" t="s">
        <v>73</v>
      </c>
      <c r="E69" s="192" t="s">
        <v>182</v>
      </c>
      <c r="F69" s="192" t="s">
        <v>183</v>
      </c>
      <c r="G69" s="266">
        <v>8024</v>
      </c>
      <c r="H69" s="193">
        <v>1993</v>
      </c>
      <c r="I69" s="266">
        <v>1</v>
      </c>
      <c r="J69" s="266">
        <f t="shared" si="8"/>
        <v>270</v>
      </c>
      <c r="K69" s="266">
        <v>270</v>
      </c>
      <c r="L69" s="279"/>
      <c r="M69" s="266"/>
      <c r="N69" s="266"/>
      <c r="O69" s="266"/>
      <c r="P69" s="268"/>
      <c r="Q69" s="268"/>
      <c r="R69" s="268"/>
      <c r="S69" s="268"/>
      <c r="T69" s="268">
        <f t="shared" si="9"/>
        <v>0</v>
      </c>
      <c r="U69" s="266"/>
      <c r="V69" s="266"/>
      <c r="W69" s="266"/>
      <c r="X69" s="266"/>
      <c r="Y69" s="266"/>
      <c r="Z69" s="266"/>
      <c r="AA69" s="266"/>
      <c r="AB69" s="266"/>
      <c r="AC69" s="266"/>
      <c r="AD69" s="266"/>
      <c r="AE69" s="266">
        <f t="shared" si="10"/>
        <v>-270</v>
      </c>
      <c r="AF69" s="269"/>
      <c r="AG69" s="269">
        <v>2.5</v>
      </c>
      <c r="AH69" s="281">
        <v>270</v>
      </c>
      <c r="AI69" s="281"/>
      <c r="AJ69" s="193"/>
      <c r="AK69" s="193"/>
      <c r="AL69" s="193"/>
      <c r="AM69" s="271">
        <v>43612</v>
      </c>
      <c r="AN69" s="271">
        <v>46387</v>
      </c>
      <c r="AO69" s="272"/>
      <c r="AP69" s="272"/>
      <c r="AQ69" s="272" t="s">
        <v>184</v>
      </c>
      <c r="AR69" s="272"/>
      <c r="AS69" s="272"/>
      <c r="AT69" s="272"/>
      <c r="AU69" s="272"/>
      <c r="AV69" s="277" t="s">
        <v>70</v>
      </c>
      <c r="AW69" s="274" t="s">
        <v>70</v>
      </c>
      <c r="AX69" s="272"/>
      <c r="AY69" s="272"/>
      <c r="AZ69" s="272"/>
      <c r="BA69" s="272"/>
      <c r="BB69" s="272"/>
      <c r="BC69" s="272"/>
      <c r="BD69" s="272"/>
      <c r="BE69" s="272"/>
      <c r="BF69" s="272"/>
      <c r="BG69" s="323"/>
      <c r="BH69" s="285" t="s">
        <v>1523</v>
      </c>
    </row>
    <row r="70" spans="1:60" s="76" customFormat="1" ht="20.100000000000001" customHeight="1">
      <c r="A70" s="190">
        <v>65</v>
      </c>
      <c r="B70" s="193" t="s">
        <v>167</v>
      </c>
      <c r="C70" s="192" t="s">
        <v>72</v>
      </c>
      <c r="D70" s="192" t="s">
        <v>73</v>
      </c>
      <c r="E70" s="192" t="s">
        <v>185</v>
      </c>
      <c r="F70" s="192" t="s">
        <v>186</v>
      </c>
      <c r="G70" s="266">
        <v>17942</v>
      </c>
      <c r="H70" s="193">
        <v>1994</v>
      </c>
      <c r="I70" s="266">
        <v>3</v>
      </c>
      <c r="J70" s="266">
        <f t="shared" si="8"/>
        <v>493</v>
      </c>
      <c r="K70" s="266">
        <v>493</v>
      </c>
      <c r="L70" s="279"/>
      <c r="M70" s="266"/>
      <c r="N70" s="266"/>
      <c r="O70" s="266"/>
      <c r="P70" s="268"/>
      <c r="Q70" s="268"/>
      <c r="R70" s="268"/>
      <c r="S70" s="268"/>
      <c r="T70" s="268">
        <f t="shared" si="9"/>
        <v>0</v>
      </c>
      <c r="U70" s="266"/>
      <c r="V70" s="266"/>
      <c r="W70" s="266"/>
      <c r="X70" s="266"/>
      <c r="Y70" s="266"/>
      <c r="Z70" s="266"/>
      <c r="AA70" s="266"/>
      <c r="AB70" s="266"/>
      <c r="AC70" s="266"/>
      <c r="AD70" s="266"/>
      <c r="AE70" s="266">
        <f t="shared" si="10"/>
        <v>-493</v>
      </c>
      <c r="AF70" s="269"/>
      <c r="AG70" s="269">
        <v>2.5</v>
      </c>
      <c r="AH70" s="281">
        <v>493</v>
      </c>
      <c r="AI70" s="281"/>
      <c r="AJ70" s="193"/>
      <c r="AK70" s="193"/>
      <c r="AL70" s="193"/>
      <c r="AM70" s="271">
        <v>43612</v>
      </c>
      <c r="AN70" s="271">
        <v>47118</v>
      </c>
      <c r="AO70" s="272"/>
      <c r="AP70" s="272"/>
      <c r="AQ70" s="272"/>
      <c r="AR70" s="272"/>
      <c r="AS70" s="272"/>
      <c r="AT70" s="272"/>
      <c r="AU70" s="272"/>
      <c r="AV70" s="277" t="s">
        <v>70</v>
      </c>
      <c r="AW70" s="274" t="s">
        <v>70</v>
      </c>
      <c r="AX70" s="272"/>
      <c r="AY70" s="272"/>
      <c r="AZ70" s="272"/>
      <c r="BA70" s="272"/>
      <c r="BB70" s="272"/>
      <c r="BC70" s="272"/>
      <c r="BD70" s="272"/>
      <c r="BE70" s="272"/>
      <c r="BF70" s="272"/>
      <c r="BG70" s="323"/>
      <c r="BH70" s="285" t="s">
        <v>1522</v>
      </c>
    </row>
    <row r="71" spans="1:60" s="76" customFormat="1" ht="20.100000000000001" customHeight="1">
      <c r="A71" s="190">
        <v>66</v>
      </c>
      <c r="B71" s="193" t="s">
        <v>167</v>
      </c>
      <c r="C71" s="192" t="s">
        <v>72</v>
      </c>
      <c r="D71" s="192" t="s">
        <v>73</v>
      </c>
      <c r="E71" s="192" t="s">
        <v>187</v>
      </c>
      <c r="F71" s="192" t="s">
        <v>188</v>
      </c>
      <c r="G71" s="266">
        <v>83823</v>
      </c>
      <c r="H71" s="193">
        <v>1994</v>
      </c>
      <c r="I71" s="266">
        <v>19</v>
      </c>
      <c r="J71" s="266">
        <f t="shared" si="8"/>
        <v>2510</v>
      </c>
      <c r="K71" s="266">
        <v>2510</v>
      </c>
      <c r="L71" s="279"/>
      <c r="M71" s="266"/>
      <c r="N71" s="266"/>
      <c r="O71" s="266"/>
      <c r="P71" s="268"/>
      <c r="Q71" s="268"/>
      <c r="R71" s="268"/>
      <c r="S71" s="268"/>
      <c r="T71" s="268">
        <f t="shared" si="9"/>
        <v>0</v>
      </c>
      <c r="U71" s="266"/>
      <c r="V71" s="266"/>
      <c r="W71" s="266"/>
      <c r="X71" s="266"/>
      <c r="Y71" s="266"/>
      <c r="Z71" s="266"/>
      <c r="AA71" s="266"/>
      <c r="AB71" s="266"/>
      <c r="AC71" s="266"/>
      <c r="AD71" s="266"/>
      <c r="AE71" s="266">
        <f t="shared" si="10"/>
        <v>-2510</v>
      </c>
      <c r="AF71" s="269"/>
      <c r="AG71" s="269">
        <v>2.5</v>
      </c>
      <c r="AH71" s="281">
        <v>2510</v>
      </c>
      <c r="AI71" s="281"/>
      <c r="AJ71" s="193"/>
      <c r="AK71" s="193"/>
      <c r="AL71" s="193"/>
      <c r="AM71" s="271">
        <v>43612</v>
      </c>
      <c r="AN71" s="271">
        <v>47118</v>
      </c>
      <c r="AO71" s="272"/>
      <c r="AP71" s="272"/>
      <c r="AQ71" s="272"/>
      <c r="AR71" s="272"/>
      <c r="AS71" s="272"/>
      <c r="AT71" s="272"/>
      <c r="AU71" s="272"/>
      <c r="AV71" s="277" t="s">
        <v>70</v>
      </c>
      <c r="AW71" s="274" t="s">
        <v>70</v>
      </c>
      <c r="AX71" s="272"/>
      <c r="AY71" s="272"/>
      <c r="AZ71" s="272"/>
      <c r="BA71" s="272"/>
      <c r="BB71" s="272"/>
      <c r="BC71" s="272"/>
      <c r="BD71" s="272"/>
      <c r="BE71" s="272"/>
      <c r="BF71" s="272"/>
      <c r="BG71" s="323"/>
      <c r="BH71" s="285" t="s">
        <v>1524</v>
      </c>
    </row>
    <row r="72" spans="1:60" s="76" customFormat="1" ht="20.100000000000001" customHeight="1">
      <c r="A72" s="190">
        <v>67</v>
      </c>
      <c r="B72" s="193" t="s">
        <v>167</v>
      </c>
      <c r="C72" s="192" t="s">
        <v>72</v>
      </c>
      <c r="D72" s="192" t="s">
        <v>73</v>
      </c>
      <c r="E72" s="282" t="s">
        <v>189</v>
      </c>
      <c r="F72" s="283" t="s">
        <v>190</v>
      </c>
      <c r="G72" s="284">
        <v>10913</v>
      </c>
      <c r="H72" s="285">
        <v>1982</v>
      </c>
      <c r="I72" s="286">
        <v>3</v>
      </c>
      <c r="J72" s="286">
        <f t="shared" si="8"/>
        <v>280</v>
      </c>
      <c r="K72" s="286">
        <v>280</v>
      </c>
      <c r="L72" s="287"/>
      <c r="M72" s="286"/>
      <c r="N72" s="286"/>
      <c r="O72" s="286"/>
      <c r="P72" s="268"/>
      <c r="Q72" s="268"/>
      <c r="R72" s="268"/>
      <c r="S72" s="268"/>
      <c r="T72" s="268">
        <f t="shared" si="9"/>
        <v>0</v>
      </c>
      <c r="U72" s="286"/>
      <c r="V72" s="286"/>
      <c r="W72" s="286"/>
      <c r="X72" s="286"/>
      <c r="Y72" s="286"/>
      <c r="Z72" s="286"/>
      <c r="AA72" s="286"/>
      <c r="AB72" s="286"/>
      <c r="AC72" s="286"/>
      <c r="AD72" s="286"/>
      <c r="AE72" s="266">
        <f t="shared" si="10"/>
        <v>-280</v>
      </c>
      <c r="AF72" s="288">
        <v>2.0299999999999998</v>
      </c>
      <c r="AG72" s="288">
        <v>2.5</v>
      </c>
      <c r="AH72" s="289">
        <v>286</v>
      </c>
      <c r="AI72" s="289"/>
      <c r="AJ72" s="285"/>
      <c r="AK72" s="285"/>
      <c r="AL72" s="285"/>
      <c r="AM72" s="278">
        <v>39051</v>
      </c>
      <c r="AN72" s="278">
        <v>44196</v>
      </c>
      <c r="AO72" s="280"/>
      <c r="AP72" s="272"/>
      <c r="AQ72" s="272"/>
      <c r="AR72" s="272"/>
      <c r="AS72" s="272">
        <v>45226</v>
      </c>
      <c r="AT72" s="272"/>
      <c r="AU72" s="275">
        <v>45537</v>
      </c>
      <c r="AV72" s="277" t="s">
        <v>82</v>
      </c>
      <c r="AW72" s="274" t="s">
        <v>70</v>
      </c>
      <c r="AX72" s="272"/>
      <c r="AY72" s="280"/>
      <c r="AZ72" s="280"/>
      <c r="BA72" s="280"/>
      <c r="BB72" s="280"/>
      <c r="BC72" s="280"/>
      <c r="BD72" s="280"/>
      <c r="BE72" s="280"/>
      <c r="BF72" s="272"/>
      <c r="BG72" s="324"/>
      <c r="BH72" s="285" t="s">
        <v>1522</v>
      </c>
    </row>
    <row r="73" spans="1:60" s="61" customFormat="1" ht="20.100000000000001" customHeight="1">
      <c r="A73" s="190">
        <v>68</v>
      </c>
      <c r="B73" s="193" t="s">
        <v>167</v>
      </c>
      <c r="C73" s="192" t="s">
        <v>72</v>
      </c>
      <c r="D73" s="192" t="s">
        <v>73</v>
      </c>
      <c r="E73" s="192" t="s">
        <v>191</v>
      </c>
      <c r="F73" s="192" t="s">
        <v>192</v>
      </c>
      <c r="G73" s="266">
        <v>59828.5</v>
      </c>
      <c r="H73" s="193">
        <v>1995</v>
      </c>
      <c r="I73" s="266">
        <v>14</v>
      </c>
      <c r="J73" s="266">
        <v>1258</v>
      </c>
      <c r="K73" s="266"/>
      <c r="L73" s="266"/>
      <c r="M73" s="266"/>
      <c r="N73" s="266"/>
      <c r="O73" s="266"/>
      <c r="P73" s="268"/>
      <c r="Q73" s="268"/>
      <c r="R73" s="268"/>
      <c r="S73" s="268"/>
      <c r="T73" s="268">
        <f t="shared" si="9"/>
        <v>0</v>
      </c>
      <c r="U73" s="266"/>
      <c r="V73" s="266"/>
      <c r="W73" s="266"/>
      <c r="X73" s="266"/>
      <c r="Y73" s="266"/>
      <c r="Z73" s="266"/>
      <c r="AA73" s="266"/>
      <c r="AB73" s="266"/>
      <c r="AC73" s="266"/>
      <c r="AD73" s="266"/>
      <c r="AE73" s="266">
        <f t="shared" si="10"/>
        <v>-1258</v>
      </c>
      <c r="AF73" s="272"/>
      <c r="AG73" s="269">
        <v>2.5</v>
      </c>
      <c r="AH73" s="290">
        <v>1258</v>
      </c>
      <c r="AI73" s="272"/>
      <c r="AJ73" s="272"/>
      <c r="AK73" s="272"/>
      <c r="AL73" s="277"/>
      <c r="AM73" s="271">
        <v>45523</v>
      </c>
      <c r="AN73" s="272"/>
      <c r="AO73" s="272"/>
      <c r="AP73" s="272"/>
      <c r="AQ73" s="272"/>
      <c r="AR73" s="272"/>
      <c r="AS73" s="272">
        <v>45623</v>
      </c>
      <c r="AT73" s="272"/>
      <c r="AU73" s="275">
        <v>45874</v>
      </c>
      <c r="AV73" s="277" t="s">
        <v>82</v>
      </c>
      <c r="AW73" s="193"/>
      <c r="AX73" s="193"/>
      <c r="AY73" s="272"/>
      <c r="AZ73" s="272"/>
      <c r="BA73" s="272"/>
      <c r="BB73" s="272"/>
      <c r="BC73" s="272"/>
      <c r="BD73" s="272"/>
      <c r="BE73" s="272"/>
      <c r="BF73" s="272"/>
      <c r="BG73" s="323"/>
      <c r="BH73" s="285" t="s">
        <v>1524</v>
      </c>
    </row>
    <row r="74" spans="1:60" s="61" customFormat="1" ht="20.100000000000001" customHeight="1">
      <c r="A74" s="190">
        <v>69</v>
      </c>
      <c r="B74" s="193" t="s">
        <v>167</v>
      </c>
      <c r="C74" s="192" t="s">
        <v>64</v>
      </c>
      <c r="D74" s="192" t="s">
        <v>85</v>
      </c>
      <c r="E74" s="192" t="s">
        <v>193</v>
      </c>
      <c r="F74" s="192" t="s">
        <v>194</v>
      </c>
      <c r="G74" s="266">
        <v>124989</v>
      </c>
      <c r="H74" s="192" t="s">
        <v>195</v>
      </c>
      <c r="I74" s="266">
        <v>1241</v>
      </c>
      <c r="J74" s="266">
        <f>SUM(K74:O74)</f>
        <v>3646</v>
      </c>
      <c r="K74" s="266">
        <v>3646</v>
      </c>
      <c r="L74" s="279" t="s">
        <v>115</v>
      </c>
      <c r="M74" s="266"/>
      <c r="N74" s="266"/>
      <c r="O74" s="266"/>
      <c r="P74" s="291">
        <f>SUM(Q74:S74)</f>
        <v>2778</v>
      </c>
      <c r="Q74" s="291">
        <v>2310</v>
      </c>
      <c r="R74" s="291"/>
      <c r="S74" s="268">
        <v>468</v>
      </c>
      <c r="T74" s="268">
        <f t="shared" si="9"/>
        <v>2778</v>
      </c>
      <c r="U74" s="266">
        <v>2310</v>
      </c>
      <c r="V74" s="266"/>
      <c r="W74" s="266"/>
      <c r="X74" s="266"/>
      <c r="Y74" s="266"/>
      <c r="Z74" s="266"/>
      <c r="AA74" s="268">
        <v>468</v>
      </c>
      <c r="AB74" s="266"/>
      <c r="AC74" s="266"/>
      <c r="AD74" s="266"/>
      <c r="AE74" s="266">
        <f t="shared" si="10"/>
        <v>-868</v>
      </c>
      <c r="AF74" s="192" t="s">
        <v>196</v>
      </c>
      <c r="AG74" s="269">
        <v>2.65</v>
      </c>
      <c r="AH74" s="270">
        <v>1340</v>
      </c>
      <c r="AI74" s="270"/>
      <c r="AJ74" s="193" t="s">
        <v>105</v>
      </c>
      <c r="AK74" s="193">
        <v>2023</v>
      </c>
      <c r="AL74" s="193">
        <v>2032</v>
      </c>
      <c r="AM74" s="271">
        <v>43612</v>
      </c>
      <c r="AN74" s="271">
        <v>44926</v>
      </c>
      <c r="AO74" s="272">
        <v>44977</v>
      </c>
      <c r="AP74" s="272">
        <v>44977</v>
      </c>
      <c r="AQ74" s="272"/>
      <c r="AR74" s="272"/>
      <c r="AS74" s="272"/>
      <c r="AT74" s="272"/>
      <c r="AU74" s="272"/>
      <c r="AV74" s="277" t="s">
        <v>70</v>
      </c>
      <c r="AW74" s="274" t="s">
        <v>70</v>
      </c>
      <c r="AX74" s="272"/>
      <c r="AY74" s="272">
        <v>45411</v>
      </c>
      <c r="AZ74" s="276"/>
      <c r="BA74" s="272"/>
      <c r="BB74" s="272"/>
      <c r="BC74" s="272"/>
      <c r="BD74" s="272"/>
      <c r="BE74" s="272"/>
      <c r="BF74" s="272"/>
      <c r="BG74" s="323"/>
      <c r="BH74" s="285" t="s">
        <v>1525</v>
      </c>
    </row>
    <row r="75" spans="1:60" s="61" customFormat="1" ht="20.100000000000001" customHeight="1">
      <c r="A75" s="190">
        <v>70</v>
      </c>
      <c r="B75" s="193" t="s">
        <v>167</v>
      </c>
      <c r="C75" s="192" t="s">
        <v>64</v>
      </c>
      <c r="D75" s="192" t="s">
        <v>85</v>
      </c>
      <c r="E75" s="192" t="s">
        <v>197</v>
      </c>
      <c r="F75" s="192" t="s">
        <v>198</v>
      </c>
      <c r="G75" s="266">
        <v>153218</v>
      </c>
      <c r="H75" s="192" t="s">
        <v>195</v>
      </c>
      <c r="I75" s="266">
        <v>1398</v>
      </c>
      <c r="J75" s="266">
        <v>4625</v>
      </c>
      <c r="K75" s="266">
        <v>4625</v>
      </c>
      <c r="L75" s="279" t="s">
        <v>115</v>
      </c>
      <c r="M75" s="266"/>
      <c r="N75" s="266"/>
      <c r="O75" s="266"/>
      <c r="P75" s="291">
        <f>SUM(Q75:S75)</f>
        <v>3395</v>
      </c>
      <c r="Q75" s="291">
        <v>2760</v>
      </c>
      <c r="R75" s="291"/>
      <c r="S75" s="292">
        <v>635</v>
      </c>
      <c r="T75" s="268">
        <f t="shared" si="9"/>
        <v>3395</v>
      </c>
      <c r="U75" s="266">
        <v>2760</v>
      </c>
      <c r="V75" s="266"/>
      <c r="W75" s="266"/>
      <c r="X75" s="266"/>
      <c r="Y75" s="266"/>
      <c r="Z75" s="266"/>
      <c r="AA75" s="266">
        <v>635</v>
      </c>
      <c r="AB75" s="266"/>
      <c r="AC75" s="266"/>
      <c r="AD75" s="266"/>
      <c r="AE75" s="266">
        <f t="shared" si="10"/>
        <v>-1230</v>
      </c>
      <c r="AF75" s="192" t="s">
        <v>196</v>
      </c>
      <c r="AG75" s="269">
        <v>2.8</v>
      </c>
      <c r="AH75" s="270">
        <v>1630</v>
      </c>
      <c r="AI75" s="270"/>
      <c r="AJ75" s="193" t="s">
        <v>105</v>
      </c>
      <c r="AK75" s="193">
        <v>2023</v>
      </c>
      <c r="AL75" s="193">
        <v>2034</v>
      </c>
      <c r="AM75" s="271">
        <v>43612</v>
      </c>
      <c r="AN75" s="271">
        <v>44926</v>
      </c>
      <c r="AO75" s="272">
        <v>44977</v>
      </c>
      <c r="AP75" s="272">
        <v>44977</v>
      </c>
      <c r="AQ75" s="272" t="s">
        <v>199</v>
      </c>
      <c r="AR75" s="272"/>
      <c r="AS75" s="272"/>
      <c r="AT75" s="272"/>
      <c r="AU75" s="272"/>
      <c r="AV75" s="277" t="s">
        <v>70</v>
      </c>
      <c r="AW75" s="274" t="s">
        <v>70</v>
      </c>
      <c r="AX75" s="272"/>
      <c r="AY75" s="272">
        <v>45411</v>
      </c>
      <c r="AZ75" s="272"/>
      <c r="BA75" s="272"/>
      <c r="BB75" s="272"/>
      <c r="BC75" s="272"/>
      <c r="BD75" s="272"/>
      <c r="BE75" s="272"/>
      <c r="BF75" s="272"/>
      <c r="BG75" s="323"/>
      <c r="BH75" s="285" t="s">
        <v>1526</v>
      </c>
    </row>
    <row r="76" spans="1:60" s="82" customFormat="1" ht="19.5" customHeight="1">
      <c r="A76" s="190">
        <v>71</v>
      </c>
      <c r="B76" s="293" t="s">
        <v>167</v>
      </c>
      <c r="C76" s="192" t="s">
        <v>88</v>
      </c>
      <c r="D76" s="192" t="s">
        <v>85</v>
      </c>
      <c r="E76" s="294" t="s">
        <v>200</v>
      </c>
      <c r="F76" s="293" t="s">
        <v>201</v>
      </c>
      <c r="G76" s="279">
        <v>145566</v>
      </c>
      <c r="H76" s="192"/>
      <c r="I76" s="279"/>
      <c r="J76" s="266"/>
      <c r="K76" s="279"/>
      <c r="L76" s="279"/>
      <c r="M76" s="279"/>
      <c r="N76" s="279"/>
      <c r="O76" s="279"/>
      <c r="P76" s="268"/>
      <c r="Q76" s="268"/>
      <c r="R76" s="268"/>
      <c r="S76" s="268"/>
      <c r="T76" s="268"/>
      <c r="U76" s="266"/>
      <c r="V76" s="279"/>
      <c r="W76" s="279"/>
      <c r="X76" s="279"/>
      <c r="Y76" s="279"/>
      <c r="Z76" s="279"/>
      <c r="AA76" s="266"/>
      <c r="AB76" s="279"/>
      <c r="AC76" s="279"/>
      <c r="AD76" s="279"/>
      <c r="AE76" s="266"/>
      <c r="AF76" s="269"/>
      <c r="AG76" s="269"/>
      <c r="AH76" s="295"/>
      <c r="AI76" s="295"/>
      <c r="AJ76" s="192" t="s">
        <v>92</v>
      </c>
      <c r="AK76" s="192">
        <v>2026</v>
      </c>
      <c r="AL76" s="193" t="s">
        <v>100</v>
      </c>
      <c r="AM76" s="271">
        <v>45523</v>
      </c>
      <c r="AN76" s="296"/>
      <c r="AO76" s="296" t="s">
        <v>202</v>
      </c>
      <c r="AP76" s="296" t="s">
        <v>202</v>
      </c>
      <c r="AQ76" s="272"/>
      <c r="AR76" s="272">
        <v>45889</v>
      </c>
      <c r="AS76" s="272"/>
      <c r="AT76" s="272"/>
      <c r="AU76" s="272"/>
      <c r="AV76" s="277" t="s">
        <v>70</v>
      </c>
      <c r="AW76" s="274" t="s">
        <v>70</v>
      </c>
      <c r="AX76" s="272"/>
      <c r="AY76" s="297"/>
      <c r="AZ76" s="271"/>
      <c r="BA76" s="271"/>
      <c r="BB76" s="271"/>
      <c r="BC76" s="271"/>
      <c r="BD76" s="271"/>
      <c r="BE76" s="271"/>
      <c r="BF76" s="272"/>
      <c r="BG76" s="325"/>
      <c r="BH76" s="285" t="s">
        <v>1527</v>
      </c>
    </row>
    <row r="77" spans="1:60" s="82" customFormat="1" ht="19.5" customHeight="1">
      <c r="A77" s="190">
        <v>72</v>
      </c>
      <c r="B77" s="293" t="s">
        <v>167</v>
      </c>
      <c r="C77" s="192" t="s">
        <v>88</v>
      </c>
      <c r="D77" s="192" t="s">
        <v>85</v>
      </c>
      <c r="E77" s="294" t="s">
        <v>203</v>
      </c>
      <c r="F77" s="293" t="s">
        <v>204</v>
      </c>
      <c r="G77" s="279">
        <v>183849</v>
      </c>
      <c r="H77" s="192"/>
      <c r="I77" s="279"/>
      <c r="J77" s="266"/>
      <c r="K77" s="279"/>
      <c r="L77" s="279"/>
      <c r="M77" s="279"/>
      <c r="N77" s="279"/>
      <c r="O77" s="279"/>
      <c r="P77" s="268"/>
      <c r="Q77" s="268"/>
      <c r="R77" s="268"/>
      <c r="S77" s="268"/>
      <c r="T77" s="268"/>
      <c r="U77" s="266"/>
      <c r="V77" s="279"/>
      <c r="W77" s="279"/>
      <c r="X77" s="279"/>
      <c r="Y77" s="279"/>
      <c r="Z77" s="279"/>
      <c r="AA77" s="266"/>
      <c r="AB77" s="279"/>
      <c r="AC77" s="279"/>
      <c r="AD77" s="279"/>
      <c r="AE77" s="266"/>
      <c r="AF77" s="269"/>
      <c r="AG77" s="269"/>
      <c r="AH77" s="295"/>
      <c r="AI77" s="295"/>
      <c r="AJ77" s="192" t="s">
        <v>92</v>
      </c>
      <c r="AK77" s="192">
        <v>2026</v>
      </c>
      <c r="AL77" s="193" t="s">
        <v>100</v>
      </c>
      <c r="AM77" s="271">
        <v>45523</v>
      </c>
      <c r="AN77" s="296"/>
      <c r="AO77" s="296" t="s">
        <v>202</v>
      </c>
      <c r="AP77" s="296" t="s">
        <v>202</v>
      </c>
      <c r="AQ77" s="272"/>
      <c r="AR77" s="272">
        <v>45897</v>
      </c>
      <c r="AS77" s="272"/>
      <c r="AT77" s="272"/>
      <c r="AU77" s="272"/>
      <c r="AV77" s="277" t="s">
        <v>70</v>
      </c>
      <c r="AW77" s="274" t="s">
        <v>70</v>
      </c>
      <c r="AX77" s="272"/>
      <c r="AY77" s="297"/>
      <c r="AZ77" s="271"/>
      <c r="BA77" s="271"/>
      <c r="BB77" s="271"/>
      <c r="BC77" s="271"/>
      <c r="BD77" s="271"/>
      <c r="BE77" s="271"/>
      <c r="BF77" s="272"/>
      <c r="BG77" s="325"/>
      <c r="BH77" s="285" t="s">
        <v>1527</v>
      </c>
    </row>
    <row r="78" spans="1:60" s="82" customFormat="1" ht="19.5" customHeight="1">
      <c r="A78" s="190">
        <v>73</v>
      </c>
      <c r="B78" s="293" t="s">
        <v>167</v>
      </c>
      <c r="C78" s="192" t="s">
        <v>88</v>
      </c>
      <c r="D78" s="192" t="s">
        <v>85</v>
      </c>
      <c r="E78" s="294" t="s">
        <v>205</v>
      </c>
      <c r="F78" s="293" t="s">
        <v>206</v>
      </c>
      <c r="G78" s="279">
        <v>58403</v>
      </c>
      <c r="H78" s="192"/>
      <c r="I78" s="279"/>
      <c r="J78" s="266"/>
      <c r="K78" s="279"/>
      <c r="L78" s="279"/>
      <c r="M78" s="279"/>
      <c r="N78" s="279"/>
      <c r="O78" s="279"/>
      <c r="P78" s="268"/>
      <c r="Q78" s="268"/>
      <c r="R78" s="268"/>
      <c r="S78" s="268"/>
      <c r="T78" s="268"/>
      <c r="U78" s="266"/>
      <c r="V78" s="279"/>
      <c r="W78" s="279"/>
      <c r="X78" s="279"/>
      <c r="Y78" s="279"/>
      <c r="Z78" s="279"/>
      <c r="AA78" s="266"/>
      <c r="AB78" s="279"/>
      <c r="AC78" s="279"/>
      <c r="AD78" s="279"/>
      <c r="AE78" s="266"/>
      <c r="AF78" s="269"/>
      <c r="AG78" s="269"/>
      <c r="AH78" s="295"/>
      <c r="AI78" s="295"/>
      <c r="AJ78" s="192" t="s">
        <v>92</v>
      </c>
      <c r="AK78" s="192">
        <v>2026</v>
      </c>
      <c r="AL78" s="193" t="s">
        <v>100</v>
      </c>
      <c r="AM78" s="271">
        <v>45523</v>
      </c>
      <c r="AN78" s="296"/>
      <c r="AO78" s="296" t="s">
        <v>202</v>
      </c>
      <c r="AP78" s="296" t="s">
        <v>202</v>
      </c>
      <c r="AQ78" s="272"/>
      <c r="AR78" s="272">
        <v>45916</v>
      </c>
      <c r="AS78" s="272"/>
      <c r="AT78" s="272"/>
      <c r="AU78" s="272"/>
      <c r="AV78" s="277" t="s">
        <v>70</v>
      </c>
      <c r="AW78" s="274" t="s">
        <v>70</v>
      </c>
      <c r="AX78" s="272"/>
      <c r="AY78" s="297"/>
      <c r="AZ78" s="271"/>
      <c r="BA78" s="271"/>
      <c r="BB78" s="271"/>
      <c r="BC78" s="271"/>
      <c r="BD78" s="271"/>
      <c r="BE78" s="271"/>
      <c r="BF78" s="272"/>
      <c r="BG78" s="325"/>
      <c r="BH78" s="285" t="s">
        <v>1528</v>
      </c>
    </row>
    <row r="79" spans="1:60" s="82" customFormat="1" ht="19.5" customHeight="1">
      <c r="A79" s="190">
        <v>74</v>
      </c>
      <c r="B79" s="293" t="s">
        <v>167</v>
      </c>
      <c r="C79" s="192" t="s">
        <v>88</v>
      </c>
      <c r="D79" s="192" t="s">
        <v>85</v>
      </c>
      <c r="E79" s="294" t="s">
        <v>207</v>
      </c>
      <c r="F79" s="293" t="s">
        <v>208</v>
      </c>
      <c r="G79" s="279">
        <v>42972</v>
      </c>
      <c r="H79" s="192"/>
      <c r="I79" s="279"/>
      <c r="J79" s="266"/>
      <c r="K79" s="279"/>
      <c r="L79" s="279"/>
      <c r="M79" s="279"/>
      <c r="N79" s="279"/>
      <c r="O79" s="279"/>
      <c r="P79" s="268"/>
      <c r="Q79" s="268"/>
      <c r="R79" s="268"/>
      <c r="S79" s="268"/>
      <c r="T79" s="268"/>
      <c r="U79" s="266"/>
      <c r="V79" s="279"/>
      <c r="W79" s="279"/>
      <c r="X79" s="279"/>
      <c r="Y79" s="279"/>
      <c r="Z79" s="279"/>
      <c r="AA79" s="266"/>
      <c r="AB79" s="279"/>
      <c r="AC79" s="279"/>
      <c r="AD79" s="279"/>
      <c r="AE79" s="266"/>
      <c r="AF79" s="269"/>
      <c r="AG79" s="269"/>
      <c r="AH79" s="295"/>
      <c r="AI79" s="295"/>
      <c r="AJ79" s="192" t="s">
        <v>92</v>
      </c>
      <c r="AK79" s="192">
        <v>2026</v>
      </c>
      <c r="AL79" s="193" t="s">
        <v>100</v>
      </c>
      <c r="AM79" s="271">
        <v>45523</v>
      </c>
      <c r="AN79" s="296"/>
      <c r="AO79" s="296" t="s">
        <v>202</v>
      </c>
      <c r="AP79" s="296" t="s">
        <v>202</v>
      </c>
      <c r="AQ79" s="272"/>
      <c r="AR79" s="272">
        <v>45980</v>
      </c>
      <c r="AS79" s="272"/>
      <c r="AT79" s="272"/>
      <c r="AU79" s="272"/>
      <c r="AV79" s="277" t="s">
        <v>70</v>
      </c>
      <c r="AW79" s="274" t="s">
        <v>70</v>
      </c>
      <c r="AX79" s="272"/>
      <c r="AY79" s="297"/>
      <c r="AZ79" s="271"/>
      <c r="BA79" s="271"/>
      <c r="BB79" s="271"/>
      <c r="BC79" s="271"/>
      <c r="BD79" s="271"/>
      <c r="BE79" s="271"/>
      <c r="BF79" s="272"/>
      <c r="BG79" s="325"/>
      <c r="BH79" s="285" t="s">
        <v>1528</v>
      </c>
    </row>
    <row r="80" spans="1:60" s="82" customFormat="1" ht="19.5" customHeight="1">
      <c r="A80" s="190">
        <v>75</v>
      </c>
      <c r="B80" s="293" t="s">
        <v>167</v>
      </c>
      <c r="C80" s="192" t="s">
        <v>88</v>
      </c>
      <c r="D80" s="192" t="s">
        <v>85</v>
      </c>
      <c r="E80" s="294" t="s">
        <v>209</v>
      </c>
      <c r="F80" s="293" t="s">
        <v>210</v>
      </c>
      <c r="G80" s="279">
        <v>103904</v>
      </c>
      <c r="H80" s="192"/>
      <c r="I80" s="279"/>
      <c r="J80" s="266"/>
      <c r="K80" s="279"/>
      <c r="L80" s="279"/>
      <c r="M80" s="279"/>
      <c r="N80" s="279"/>
      <c r="O80" s="279"/>
      <c r="P80" s="268"/>
      <c r="Q80" s="268"/>
      <c r="R80" s="268"/>
      <c r="S80" s="268"/>
      <c r="T80" s="268"/>
      <c r="U80" s="266"/>
      <c r="V80" s="279"/>
      <c r="W80" s="279"/>
      <c r="X80" s="279"/>
      <c r="Y80" s="279"/>
      <c r="Z80" s="279"/>
      <c r="AA80" s="266"/>
      <c r="AB80" s="279"/>
      <c r="AC80" s="279"/>
      <c r="AD80" s="279"/>
      <c r="AE80" s="266"/>
      <c r="AF80" s="269"/>
      <c r="AG80" s="269"/>
      <c r="AH80" s="295"/>
      <c r="AI80" s="295"/>
      <c r="AJ80" s="192" t="s">
        <v>92</v>
      </c>
      <c r="AK80" s="192">
        <v>2026</v>
      </c>
      <c r="AL80" s="193" t="s">
        <v>100</v>
      </c>
      <c r="AM80" s="271">
        <v>45523</v>
      </c>
      <c r="AN80" s="296"/>
      <c r="AO80" s="296" t="s">
        <v>202</v>
      </c>
      <c r="AP80" s="296" t="s">
        <v>202</v>
      </c>
      <c r="AQ80" s="272"/>
      <c r="AR80" s="272">
        <v>45992</v>
      </c>
      <c r="AS80" s="272"/>
      <c r="AT80" s="272"/>
      <c r="AU80" s="272"/>
      <c r="AV80" s="277" t="s">
        <v>70</v>
      </c>
      <c r="AW80" s="274" t="s">
        <v>70</v>
      </c>
      <c r="AX80" s="272"/>
      <c r="AY80" s="297"/>
      <c r="AZ80" s="271"/>
      <c r="BA80" s="271"/>
      <c r="BB80" s="271"/>
      <c r="BC80" s="271"/>
      <c r="BD80" s="271"/>
      <c r="BE80" s="271"/>
      <c r="BF80" s="272"/>
      <c r="BG80" s="325"/>
      <c r="BH80" s="285" t="s">
        <v>1527</v>
      </c>
    </row>
    <row r="81" spans="1:60" s="82" customFormat="1" ht="19.5" customHeight="1">
      <c r="A81" s="190">
        <v>76</v>
      </c>
      <c r="B81" s="293" t="s">
        <v>167</v>
      </c>
      <c r="C81" s="192" t="s">
        <v>88</v>
      </c>
      <c r="D81" s="192" t="s">
        <v>85</v>
      </c>
      <c r="E81" s="294" t="s">
        <v>211</v>
      </c>
      <c r="F81" s="293" t="s">
        <v>212</v>
      </c>
      <c r="G81" s="279">
        <v>73269</v>
      </c>
      <c r="H81" s="192"/>
      <c r="I81" s="279"/>
      <c r="J81" s="266"/>
      <c r="K81" s="279"/>
      <c r="L81" s="279"/>
      <c r="M81" s="279"/>
      <c r="N81" s="279"/>
      <c r="O81" s="279"/>
      <c r="P81" s="268"/>
      <c r="Q81" s="268"/>
      <c r="R81" s="268"/>
      <c r="S81" s="268"/>
      <c r="T81" s="268"/>
      <c r="U81" s="266"/>
      <c r="V81" s="279"/>
      <c r="W81" s="279"/>
      <c r="X81" s="279"/>
      <c r="Y81" s="279"/>
      <c r="Z81" s="279"/>
      <c r="AA81" s="266"/>
      <c r="AB81" s="279"/>
      <c r="AC81" s="279"/>
      <c r="AD81" s="279"/>
      <c r="AE81" s="266"/>
      <c r="AF81" s="269"/>
      <c r="AG81" s="269"/>
      <c r="AH81" s="295"/>
      <c r="AI81" s="295"/>
      <c r="AJ81" s="192" t="s">
        <v>92</v>
      </c>
      <c r="AK81" s="192">
        <v>2027</v>
      </c>
      <c r="AL81" s="193" t="s">
        <v>100</v>
      </c>
      <c r="AM81" s="271">
        <v>45523</v>
      </c>
      <c r="AN81" s="271"/>
      <c r="AO81" s="271" t="s">
        <v>213</v>
      </c>
      <c r="AP81" s="271" t="s">
        <v>213</v>
      </c>
      <c r="AQ81" s="272"/>
      <c r="AR81" s="272">
        <v>46105</v>
      </c>
      <c r="AS81" s="272"/>
      <c r="AT81" s="272"/>
      <c r="AU81" s="272"/>
      <c r="AV81" s="277" t="s">
        <v>70</v>
      </c>
      <c r="AW81" s="274" t="s">
        <v>70</v>
      </c>
      <c r="AX81" s="272"/>
      <c r="AY81" s="297"/>
      <c r="AZ81" s="271"/>
      <c r="BA81" s="271"/>
      <c r="BB81" s="271"/>
      <c r="BC81" s="271"/>
      <c r="BD81" s="271"/>
      <c r="BE81" s="271"/>
      <c r="BF81" s="272"/>
      <c r="BG81" s="325"/>
      <c r="BH81" s="285" t="s">
        <v>1529</v>
      </c>
    </row>
    <row r="82" spans="1:60" s="82" customFormat="1" ht="19.5" customHeight="1">
      <c r="A82" s="190">
        <v>77</v>
      </c>
      <c r="B82" s="293" t="s">
        <v>167</v>
      </c>
      <c r="C82" s="192" t="s">
        <v>88</v>
      </c>
      <c r="D82" s="192" t="s">
        <v>85</v>
      </c>
      <c r="E82" s="294" t="s">
        <v>214</v>
      </c>
      <c r="F82" s="293" t="s">
        <v>215</v>
      </c>
      <c r="G82" s="279">
        <v>117999</v>
      </c>
      <c r="H82" s="192"/>
      <c r="I82" s="279"/>
      <c r="J82" s="266"/>
      <c r="K82" s="279"/>
      <c r="L82" s="279"/>
      <c r="M82" s="279"/>
      <c r="N82" s="279"/>
      <c r="O82" s="279"/>
      <c r="P82" s="268"/>
      <c r="Q82" s="268"/>
      <c r="R82" s="268"/>
      <c r="S82" s="268"/>
      <c r="T82" s="268"/>
      <c r="U82" s="266"/>
      <c r="V82" s="279"/>
      <c r="W82" s="279"/>
      <c r="X82" s="279"/>
      <c r="Y82" s="279"/>
      <c r="Z82" s="279"/>
      <c r="AA82" s="266"/>
      <c r="AB82" s="279"/>
      <c r="AC82" s="279"/>
      <c r="AD82" s="279"/>
      <c r="AE82" s="266"/>
      <c r="AF82" s="269"/>
      <c r="AG82" s="269"/>
      <c r="AH82" s="295"/>
      <c r="AI82" s="295"/>
      <c r="AJ82" s="192" t="s">
        <v>92</v>
      </c>
      <c r="AK82" s="192">
        <v>2027</v>
      </c>
      <c r="AL82" s="193" t="s">
        <v>100</v>
      </c>
      <c r="AM82" s="271">
        <v>45523</v>
      </c>
      <c r="AN82" s="271"/>
      <c r="AO82" s="271" t="s">
        <v>213</v>
      </c>
      <c r="AP82" s="271" t="s">
        <v>213</v>
      </c>
      <c r="AQ82" s="272"/>
      <c r="AR82" s="272">
        <v>46066</v>
      </c>
      <c r="AS82" s="272"/>
      <c r="AT82" s="272"/>
      <c r="AU82" s="272"/>
      <c r="AV82" s="277" t="s">
        <v>70</v>
      </c>
      <c r="AW82" s="274" t="s">
        <v>70</v>
      </c>
      <c r="AX82" s="272"/>
      <c r="AY82" s="297"/>
      <c r="AZ82" s="271"/>
      <c r="BA82" s="271"/>
      <c r="BB82" s="271"/>
      <c r="BC82" s="271"/>
      <c r="BD82" s="271"/>
      <c r="BE82" s="271"/>
      <c r="BF82" s="272"/>
      <c r="BG82" s="325"/>
      <c r="BH82" s="285" t="s">
        <v>1529</v>
      </c>
    </row>
    <row r="83" spans="1:60" s="61" customFormat="1" ht="20.100000000000001" customHeight="1">
      <c r="A83" s="190">
        <v>78</v>
      </c>
      <c r="B83" s="193" t="s">
        <v>167</v>
      </c>
      <c r="C83" s="192" t="s">
        <v>65</v>
      </c>
      <c r="D83" s="192" t="s">
        <v>85</v>
      </c>
      <c r="E83" s="192" t="s">
        <v>216</v>
      </c>
      <c r="F83" s="192" t="s">
        <v>217</v>
      </c>
      <c r="G83" s="266">
        <v>196693</v>
      </c>
      <c r="H83" s="192" t="s">
        <v>195</v>
      </c>
      <c r="I83" s="266">
        <v>1985</v>
      </c>
      <c r="J83" s="266">
        <f t="shared" ref="J83:J107" si="11">SUM(K83:O83)</f>
        <v>5709</v>
      </c>
      <c r="K83" s="266">
        <v>5709</v>
      </c>
      <c r="L83" s="279" t="s">
        <v>115</v>
      </c>
      <c r="M83" s="266"/>
      <c r="N83" s="266"/>
      <c r="O83" s="266"/>
      <c r="P83" s="291">
        <f>SUM(Q83:S83)</f>
        <v>3754</v>
      </c>
      <c r="Q83" s="291">
        <v>3290</v>
      </c>
      <c r="R83" s="291"/>
      <c r="S83" s="291">
        <v>464</v>
      </c>
      <c r="T83" s="268">
        <f t="shared" ref="T83:T146" si="12">U83+AA83</f>
        <v>3754</v>
      </c>
      <c r="U83" s="291">
        <f>SUM(V83:Z83)</f>
        <v>3290</v>
      </c>
      <c r="V83" s="298">
        <v>636</v>
      </c>
      <c r="W83" s="298">
        <v>750</v>
      </c>
      <c r="X83" s="298">
        <v>145</v>
      </c>
      <c r="Y83" s="298">
        <v>1759</v>
      </c>
      <c r="Z83" s="298">
        <v>0</v>
      </c>
      <c r="AA83" s="299">
        <f>SUM(AB83:AD83)</f>
        <v>464</v>
      </c>
      <c r="AB83" s="298">
        <v>222</v>
      </c>
      <c r="AC83" s="298">
        <v>242</v>
      </c>
      <c r="AD83" s="298">
        <v>0</v>
      </c>
      <c r="AE83" s="266">
        <f t="shared" ref="AE83:AE146" si="13">T83-J83</f>
        <v>-1955</v>
      </c>
      <c r="AF83" s="192" t="s">
        <v>196</v>
      </c>
      <c r="AG83" s="269">
        <v>2.65</v>
      </c>
      <c r="AH83" s="270">
        <v>2220</v>
      </c>
      <c r="AI83" s="270"/>
      <c r="AJ83" s="193" t="s">
        <v>105</v>
      </c>
      <c r="AK83" s="193">
        <v>2020</v>
      </c>
      <c r="AL83" s="193">
        <v>2030</v>
      </c>
      <c r="AM83" s="271">
        <v>43612</v>
      </c>
      <c r="AN83" s="271">
        <v>44196</v>
      </c>
      <c r="AO83" s="271">
        <v>44196</v>
      </c>
      <c r="AP83" s="272">
        <v>44196</v>
      </c>
      <c r="AQ83" s="272"/>
      <c r="AR83" s="272"/>
      <c r="AS83" s="272"/>
      <c r="AT83" s="272"/>
      <c r="AU83" s="272"/>
      <c r="AV83" s="272" t="s">
        <v>70</v>
      </c>
      <c r="AW83" s="193" t="s">
        <v>70</v>
      </c>
      <c r="AX83" s="272"/>
      <c r="AY83" s="272"/>
      <c r="AZ83" s="300">
        <v>46020</v>
      </c>
      <c r="BA83" s="272"/>
      <c r="BB83" s="272"/>
      <c r="BC83" s="272"/>
      <c r="BD83" s="272"/>
      <c r="BE83" s="272"/>
      <c r="BF83" s="272"/>
      <c r="BG83" s="323"/>
      <c r="BH83" s="285" t="s">
        <v>1530</v>
      </c>
    </row>
    <row r="84" spans="1:60" s="61" customFormat="1" ht="20.100000000000001" customHeight="1">
      <c r="A84" s="190">
        <v>79</v>
      </c>
      <c r="B84" s="193" t="s">
        <v>167</v>
      </c>
      <c r="C84" s="192" t="s">
        <v>66</v>
      </c>
      <c r="D84" s="192" t="s">
        <v>85</v>
      </c>
      <c r="E84" s="192" t="s">
        <v>218</v>
      </c>
      <c r="F84" s="192" t="s">
        <v>219</v>
      </c>
      <c r="G84" s="301">
        <v>261831.4</v>
      </c>
      <c r="H84" s="193" t="s">
        <v>195</v>
      </c>
      <c r="I84" s="266">
        <v>2377</v>
      </c>
      <c r="J84" s="266">
        <f t="shared" si="11"/>
        <v>6544</v>
      </c>
      <c r="K84" s="266">
        <v>6544</v>
      </c>
      <c r="L84" s="279" t="s">
        <v>115</v>
      </c>
      <c r="M84" s="266"/>
      <c r="N84" s="266"/>
      <c r="O84" s="266"/>
      <c r="P84" s="291">
        <f>SUM(Q84:S84)</f>
        <v>4844</v>
      </c>
      <c r="Q84" s="291">
        <v>3962</v>
      </c>
      <c r="R84" s="291"/>
      <c r="S84" s="268">
        <v>882</v>
      </c>
      <c r="T84" s="268">
        <f t="shared" si="12"/>
        <v>4844</v>
      </c>
      <c r="U84" s="266">
        <v>3962</v>
      </c>
      <c r="V84" s="266">
        <v>444</v>
      </c>
      <c r="W84" s="266">
        <v>965</v>
      </c>
      <c r="X84" s="266">
        <v>2045</v>
      </c>
      <c r="Y84" s="266">
        <v>508</v>
      </c>
      <c r="Z84" s="266"/>
      <c r="AA84" s="279">
        <f>SUM(AB84:AC84)</f>
        <v>882</v>
      </c>
      <c r="AB84" s="266">
        <v>539</v>
      </c>
      <c r="AC84" s="266">
        <v>343</v>
      </c>
      <c r="AD84" s="266"/>
      <c r="AE84" s="266">
        <f t="shared" si="13"/>
        <v>-1700</v>
      </c>
      <c r="AF84" s="269" t="s">
        <v>196</v>
      </c>
      <c r="AG84" s="269">
        <v>2.65</v>
      </c>
      <c r="AH84" s="270">
        <v>2647</v>
      </c>
      <c r="AI84" s="270"/>
      <c r="AJ84" s="193" t="s">
        <v>105</v>
      </c>
      <c r="AK84" s="193">
        <v>2020</v>
      </c>
      <c r="AL84" s="193">
        <v>2030</v>
      </c>
      <c r="AM84" s="271">
        <v>43612</v>
      </c>
      <c r="AN84" s="271">
        <v>44196</v>
      </c>
      <c r="AO84" s="271">
        <v>44196</v>
      </c>
      <c r="AP84" s="272">
        <v>44196</v>
      </c>
      <c r="AQ84" s="272">
        <v>45286</v>
      </c>
      <c r="AR84" s="272"/>
      <c r="AS84" s="272"/>
      <c r="AT84" s="272"/>
      <c r="AU84" s="272"/>
      <c r="AV84" s="277" t="s">
        <v>70</v>
      </c>
      <c r="AW84" s="274" t="s">
        <v>70</v>
      </c>
      <c r="AX84" s="272"/>
      <c r="AY84" s="272"/>
      <c r="AZ84" s="297">
        <v>45653</v>
      </c>
      <c r="BA84" s="272">
        <v>46188</v>
      </c>
      <c r="BB84" s="276"/>
      <c r="BC84" s="272"/>
      <c r="BD84" s="272"/>
      <c r="BE84" s="272"/>
      <c r="BF84" s="272"/>
      <c r="BG84" s="323"/>
      <c r="BH84" s="285" t="s">
        <v>1525</v>
      </c>
    </row>
    <row r="85" spans="1:60" s="61" customFormat="1" ht="20.100000000000001" customHeight="1">
      <c r="A85" s="190">
        <v>80</v>
      </c>
      <c r="B85" s="193" t="s">
        <v>167</v>
      </c>
      <c r="C85" s="192" t="s">
        <v>66</v>
      </c>
      <c r="D85" s="192" t="s">
        <v>73</v>
      </c>
      <c r="E85" s="192" t="s">
        <v>220</v>
      </c>
      <c r="F85" s="192" t="s">
        <v>221</v>
      </c>
      <c r="G85" s="266">
        <v>151812.79999999999</v>
      </c>
      <c r="H85" s="193">
        <v>1987</v>
      </c>
      <c r="I85" s="266">
        <v>74</v>
      </c>
      <c r="J85" s="266">
        <f t="shared" si="11"/>
        <v>2111</v>
      </c>
      <c r="K85" s="266"/>
      <c r="L85" s="266">
        <v>2111</v>
      </c>
      <c r="M85" s="266"/>
      <c r="N85" s="266"/>
      <c r="O85" s="266"/>
      <c r="P85" s="268">
        <v>3198</v>
      </c>
      <c r="Q85" s="291">
        <v>2101</v>
      </c>
      <c r="R85" s="291">
        <f>P85-Q85</f>
        <v>1097</v>
      </c>
      <c r="S85" s="268"/>
      <c r="T85" s="268">
        <f t="shared" si="12"/>
        <v>3198</v>
      </c>
      <c r="U85" s="266">
        <f>SUM(V85:Z85)</f>
        <v>3198</v>
      </c>
      <c r="V85" s="266">
        <f>142+49</f>
        <v>191</v>
      </c>
      <c r="W85" s="266">
        <f>507+386+2</f>
        <v>895</v>
      </c>
      <c r="X85" s="266">
        <f>553+333+65+3+2+684+262+54+8+22</f>
        <v>1986</v>
      </c>
      <c r="Y85" s="266">
        <f>3+8+87+5+4+4+3+4+8</f>
        <v>126</v>
      </c>
      <c r="Z85" s="266"/>
      <c r="AA85" s="266"/>
      <c r="AB85" s="266"/>
      <c r="AC85" s="266"/>
      <c r="AD85" s="266"/>
      <c r="AE85" s="266">
        <f t="shared" si="13"/>
        <v>1087</v>
      </c>
      <c r="AF85" s="269">
        <v>1.1399999999999999</v>
      </c>
      <c r="AG85" s="269">
        <v>2.4998999999999998</v>
      </c>
      <c r="AH85" s="290">
        <v>2111</v>
      </c>
      <c r="AI85" s="281">
        <v>2198</v>
      </c>
      <c r="AJ85" s="193" t="s">
        <v>92</v>
      </c>
      <c r="AK85" s="193">
        <v>2017</v>
      </c>
      <c r="AL85" s="193"/>
      <c r="AM85" s="271">
        <v>40938</v>
      </c>
      <c r="AN85" s="271">
        <v>42369</v>
      </c>
      <c r="AO85" s="272">
        <v>42425</v>
      </c>
      <c r="AP85" s="272">
        <v>42958</v>
      </c>
      <c r="AQ85" s="272">
        <v>44357</v>
      </c>
      <c r="AR85" s="272">
        <v>43040</v>
      </c>
      <c r="AS85" s="272">
        <v>38964</v>
      </c>
      <c r="AT85" s="272"/>
      <c r="AU85" s="272">
        <v>42395</v>
      </c>
      <c r="AV85" s="277" t="s">
        <v>70</v>
      </c>
      <c r="AW85" s="274" t="s">
        <v>70</v>
      </c>
      <c r="AX85" s="272"/>
      <c r="AY85" s="272">
        <v>43290</v>
      </c>
      <c r="AZ85" s="272">
        <v>44771</v>
      </c>
      <c r="BA85" s="272">
        <v>46015</v>
      </c>
      <c r="BB85" s="272"/>
      <c r="BC85" s="272"/>
      <c r="BD85" s="272"/>
      <c r="BE85" s="272"/>
      <c r="BF85" s="272"/>
      <c r="BG85" s="323"/>
      <c r="BH85" s="285" t="s">
        <v>1523</v>
      </c>
    </row>
    <row r="86" spans="1:60" s="76" customFormat="1" ht="20.100000000000001" customHeight="1">
      <c r="A86" s="190">
        <v>81</v>
      </c>
      <c r="B86" s="193" t="s">
        <v>167</v>
      </c>
      <c r="C86" s="192" t="s">
        <v>66</v>
      </c>
      <c r="D86" s="192" t="s">
        <v>73</v>
      </c>
      <c r="E86" s="192" t="s">
        <v>222</v>
      </c>
      <c r="F86" s="192" t="s">
        <v>223</v>
      </c>
      <c r="G86" s="266">
        <v>26584</v>
      </c>
      <c r="H86" s="193">
        <v>1987</v>
      </c>
      <c r="I86" s="266">
        <v>15</v>
      </c>
      <c r="J86" s="266">
        <f t="shared" si="11"/>
        <v>709</v>
      </c>
      <c r="K86" s="266"/>
      <c r="L86" s="266"/>
      <c r="M86" s="266">
        <v>709</v>
      </c>
      <c r="N86" s="266"/>
      <c r="O86" s="266"/>
      <c r="P86" s="268">
        <v>836</v>
      </c>
      <c r="Q86" s="291">
        <v>711</v>
      </c>
      <c r="R86" s="291">
        <v>125</v>
      </c>
      <c r="S86" s="268"/>
      <c r="T86" s="268">
        <f t="shared" si="12"/>
        <v>836</v>
      </c>
      <c r="U86" s="266">
        <v>836</v>
      </c>
      <c r="V86" s="266"/>
      <c r="W86" s="266">
        <v>728</v>
      </c>
      <c r="X86" s="266">
        <v>108</v>
      </c>
      <c r="Y86" s="266"/>
      <c r="Z86" s="266"/>
      <c r="AA86" s="266"/>
      <c r="AB86" s="266"/>
      <c r="AC86" s="266"/>
      <c r="AD86" s="266"/>
      <c r="AE86" s="266">
        <f t="shared" si="13"/>
        <v>127</v>
      </c>
      <c r="AF86" s="269">
        <v>1.31</v>
      </c>
      <c r="AG86" s="269">
        <v>2.75</v>
      </c>
      <c r="AH86" s="290">
        <v>699</v>
      </c>
      <c r="AI86" s="281">
        <v>682</v>
      </c>
      <c r="AJ86" s="193" t="s">
        <v>92</v>
      </c>
      <c r="AK86" s="193">
        <v>2015</v>
      </c>
      <c r="AL86" s="193"/>
      <c r="AM86" s="271">
        <v>40938</v>
      </c>
      <c r="AN86" s="271">
        <v>42369</v>
      </c>
      <c r="AO86" s="272">
        <v>41667</v>
      </c>
      <c r="AP86" s="272">
        <v>42072</v>
      </c>
      <c r="AQ86" s="272">
        <v>42072</v>
      </c>
      <c r="AR86" s="272">
        <v>42761</v>
      </c>
      <c r="AS86" s="272">
        <v>38952</v>
      </c>
      <c r="AT86" s="272"/>
      <c r="AU86" s="272">
        <v>41460</v>
      </c>
      <c r="AV86" s="277" t="s">
        <v>70</v>
      </c>
      <c r="AW86" s="274" t="s">
        <v>70</v>
      </c>
      <c r="AX86" s="272"/>
      <c r="AY86" s="272">
        <v>43474</v>
      </c>
      <c r="AZ86" s="272">
        <v>45061</v>
      </c>
      <c r="BA86" s="272">
        <v>45656</v>
      </c>
      <c r="BB86" s="272"/>
      <c r="BC86" s="272"/>
      <c r="BD86" s="272"/>
      <c r="BE86" s="272"/>
      <c r="BF86" s="272"/>
      <c r="BG86" s="323"/>
      <c r="BH86" s="285" t="s">
        <v>1523</v>
      </c>
    </row>
    <row r="87" spans="1:60" s="76" customFormat="1" ht="19.5" customHeight="1">
      <c r="A87" s="190">
        <v>82</v>
      </c>
      <c r="B87" s="193" t="s">
        <v>167</v>
      </c>
      <c r="C87" s="192" t="s">
        <v>66</v>
      </c>
      <c r="D87" s="192" t="s">
        <v>85</v>
      </c>
      <c r="E87" s="192" t="s">
        <v>224</v>
      </c>
      <c r="F87" s="192" t="s">
        <v>225</v>
      </c>
      <c r="G87" s="266">
        <v>242045</v>
      </c>
      <c r="H87" s="192">
        <v>1986</v>
      </c>
      <c r="I87" s="266">
        <v>2092</v>
      </c>
      <c r="J87" s="266">
        <f t="shared" si="11"/>
        <v>6075</v>
      </c>
      <c r="K87" s="266">
        <v>3768</v>
      </c>
      <c r="L87" s="266">
        <v>1397</v>
      </c>
      <c r="M87" s="266">
        <v>606</v>
      </c>
      <c r="N87" s="266">
        <v>182</v>
      </c>
      <c r="O87" s="266">
        <v>122</v>
      </c>
      <c r="P87" s="291">
        <f t="shared" ref="P87:P94" si="14">SUM(Q87:S87)</f>
        <v>4885</v>
      </c>
      <c r="Q87" s="291">
        <v>2388</v>
      </c>
      <c r="R87" s="291">
        <v>1889</v>
      </c>
      <c r="S87" s="291">
        <v>608</v>
      </c>
      <c r="T87" s="268">
        <f t="shared" si="12"/>
        <v>4885</v>
      </c>
      <c r="U87" s="298">
        <f>V87+W87+X87+Y87+Z87</f>
        <v>4277</v>
      </c>
      <c r="V87" s="298">
        <v>34</v>
      </c>
      <c r="W87" s="298">
        <v>2032</v>
      </c>
      <c r="X87" s="298">
        <v>1749</v>
      </c>
      <c r="Y87" s="298">
        <v>453</v>
      </c>
      <c r="Z87" s="298">
        <v>9</v>
      </c>
      <c r="AA87" s="298">
        <f>SUM(AB87:AD87)</f>
        <v>608</v>
      </c>
      <c r="AB87" s="298">
        <v>398</v>
      </c>
      <c r="AC87" s="298">
        <v>210</v>
      </c>
      <c r="AD87" s="298"/>
      <c r="AE87" s="266">
        <f t="shared" si="13"/>
        <v>-1190</v>
      </c>
      <c r="AF87" s="269" t="s">
        <v>196</v>
      </c>
      <c r="AG87" s="269">
        <v>2.65</v>
      </c>
      <c r="AH87" s="270">
        <v>2319</v>
      </c>
      <c r="AI87" s="270">
        <v>2270</v>
      </c>
      <c r="AJ87" s="193" t="s">
        <v>92</v>
      </c>
      <c r="AK87" s="193">
        <v>2014</v>
      </c>
      <c r="AL87" s="193">
        <v>2030</v>
      </c>
      <c r="AM87" s="271">
        <v>39051</v>
      </c>
      <c r="AN87" s="271">
        <v>40908</v>
      </c>
      <c r="AO87" s="271">
        <v>41582</v>
      </c>
      <c r="AP87" s="272">
        <v>41694</v>
      </c>
      <c r="AQ87" s="272">
        <v>43682</v>
      </c>
      <c r="AR87" s="272">
        <v>41803</v>
      </c>
      <c r="AS87" s="272"/>
      <c r="AT87" s="272"/>
      <c r="AU87" s="272"/>
      <c r="AV87" s="277" t="s">
        <v>70</v>
      </c>
      <c r="AW87" s="274" t="s">
        <v>70</v>
      </c>
      <c r="AX87" s="272"/>
      <c r="AY87" s="297">
        <v>42114</v>
      </c>
      <c r="AZ87" s="297">
        <v>43843</v>
      </c>
      <c r="BA87" s="272">
        <v>44561</v>
      </c>
      <c r="BB87" s="272"/>
      <c r="BC87" s="272"/>
      <c r="BD87" s="272"/>
      <c r="BE87" s="272"/>
      <c r="BF87" s="272"/>
      <c r="BG87" s="323"/>
      <c r="BH87" s="285" t="s">
        <v>1531</v>
      </c>
    </row>
    <row r="88" spans="1:60" s="76" customFormat="1" ht="20.100000000000001" customHeight="1">
      <c r="A88" s="190">
        <v>83</v>
      </c>
      <c r="B88" s="193" t="s">
        <v>167</v>
      </c>
      <c r="C88" s="192" t="s">
        <v>64</v>
      </c>
      <c r="D88" s="192" t="s">
        <v>85</v>
      </c>
      <c r="E88" s="192" t="s">
        <v>226</v>
      </c>
      <c r="F88" s="192" t="s">
        <v>227</v>
      </c>
      <c r="G88" s="298">
        <f>450470</f>
        <v>450470</v>
      </c>
      <c r="H88" s="192" t="s">
        <v>195</v>
      </c>
      <c r="I88" s="266">
        <v>2573</v>
      </c>
      <c r="J88" s="266">
        <f t="shared" si="11"/>
        <v>10486</v>
      </c>
      <c r="K88" s="266">
        <v>10486</v>
      </c>
      <c r="L88" s="279" t="s">
        <v>115</v>
      </c>
      <c r="M88" s="266"/>
      <c r="N88" s="266"/>
      <c r="O88" s="266"/>
      <c r="P88" s="291">
        <f t="shared" si="14"/>
        <v>8792</v>
      </c>
      <c r="Q88" s="291">
        <v>7267</v>
      </c>
      <c r="R88" s="291"/>
      <c r="S88" s="268">
        <v>1525</v>
      </c>
      <c r="T88" s="268">
        <f t="shared" si="12"/>
        <v>8792</v>
      </c>
      <c r="U88" s="266">
        <v>7267</v>
      </c>
      <c r="V88" s="266"/>
      <c r="W88" s="266"/>
      <c r="X88" s="266"/>
      <c r="Y88" s="266"/>
      <c r="Z88" s="266"/>
      <c r="AA88" s="266">
        <v>1525</v>
      </c>
      <c r="AB88" s="266"/>
      <c r="AC88" s="266"/>
      <c r="AD88" s="266"/>
      <c r="AE88" s="266">
        <f t="shared" si="13"/>
        <v>-1694</v>
      </c>
      <c r="AF88" s="192" t="s">
        <v>196</v>
      </c>
      <c r="AG88" s="269">
        <v>2.5</v>
      </c>
      <c r="AH88" s="295">
        <v>4750</v>
      </c>
      <c r="AI88" s="270"/>
      <c r="AJ88" s="193" t="s">
        <v>105</v>
      </c>
      <c r="AK88" s="193">
        <v>2024</v>
      </c>
      <c r="AL88" s="193">
        <v>2034</v>
      </c>
      <c r="AM88" s="271">
        <v>43612</v>
      </c>
      <c r="AN88" s="271">
        <v>44926</v>
      </c>
      <c r="AO88" s="275">
        <v>45653</v>
      </c>
      <c r="AP88" s="272">
        <v>45653</v>
      </c>
      <c r="AQ88" s="272"/>
      <c r="AR88" s="272"/>
      <c r="AS88" s="272"/>
      <c r="AT88" s="272"/>
      <c r="AU88" s="272"/>
      <c r="AV88" s="277" t="s">
        <v>70</v>
      </c>
      <c r="AW88" s="274" t="s">
        <v>70</v>
      </c>
      <c r="AX88" s="272"/>
      <c r="AY88" s="300">
        <v>45713</v>
      </c>
      <c r="AZ88" s="272"/>
      <c r="BA88" s="272"/>
      <c r="BB88" s="272"/>
      <c r="BC88" s="272"/>
      <c r="BD88" s="272"/>
      <c r="BE88" s="272"/>
      <c r="BF88" s="272"/>
      <c r="BG88" s="323"/>
      <c r="BH88" s="285" t="s">
        <v>1532</v>
      </c>
    </row>
    <row r="89" spans="1:60" s="61" customFormat="1" ht="20.100000000000001" customHeight="1">
      <c r="A89" s="190">
        <v>84</v>
      </c>
      <c r="B89" s="302" t="s">
        <v>167</v>
      </c>
      <c r="C89" s="192" t="s">
        <v>64</v>
      </c>
      <c r="D89" s="192" t="s">
        <v>85</v>
      </c>
      <c r="E89" s="293" t="s">
        <v>1511</v>
      </c>
      <c r="F89" s="293" t="s">
        <v>228</v>
      </c>
      <c r="G89" s="279">
        <v>39346.400000000001</v>
      </c>
      <c r="H89" s="303">
        <v>1986</v>
      </c>
      <c r="I89" s="266">
        <v>268</v>
      </c>
      <c r="J89" s="266">
        <f t="shared" si="11"/>
        <v>713</v>
      </c>
      <c r="K89" s="279">
        <v>443</v>
      </c>
      <c r="L89" s="279">
        <v>164</v>
      </c>
      <c r="M89" s="279">
        <v>71</v>
      </c>
      <c r="N89" s="279">
        <v>21</v>
      </c>
      <c r="O89" s="279">
        <v>14</v>
      </c>
      <c r="P89" s="268">
        <f t="shared" si="14"/>
        <v>1123</v>
      </c>
      <c r="Q89" s="291">
        <v>1123</v>
      </c>
      <c r="R89" s="291"/>
      <c r="S89" s="268"/>
      <c r="T89" s="268">
        <f t="shared" si="12"/>
        <v>1123</v>
      </c>
      <c r="U89" s="266">
        <f t="shared" ref="U89:U94" si="15">SUM(V89:Z89)</f>
        <v>1123</v>
      </c>
      <c r="V89" s="266"/>
      <c r="W89" s="266">
        <v>455</v>
      </c>
      <c r="X89" s="266">
        <v>668</v>
      </c>
      <c r="Y89" s="266"/>
      <c r="Z89" s="266"/>
      <c r="AA89" s="266"/>
      <c r="AB89" s="266"/>
      <c r="AC89" s="266"/>
      <c r="AD89" s="266"/>
      <c r="AE89" s="266">
        <f t="shared" si="13"/>
        <v>410</v>
      </c>
      <c r="AF89" s="269" t="s">
        <v>229</v>
      </c>
      <c r="AG89" s="269">
        <v>8</v>
      </c>
      <c r="AH89" s="270">
        <v>377</v>
      </c>
      <c r="AI89" s="270"/>
      <c r="AJ89" s="193" t="s">
        <v>92</v>
      </c>
      <c r="AK89" s="193">
        <v>2006</v>
      </c>
      <c r="AL89" s="193">
        <v>2030</v>
      </c>
      <c r="AM89" s="271">
        <v>39051</v>
      </c>
      <c r="AN89" s="271">
        <v>40908</v>
      </c>
      <c r="AO89" s="272">
        <v>41809</v>
      </c>
      <c r="AP89" s="272">
        <v>42319</v>
      </c>
      <c r="AQ89" s="297">
        <v>45964</v>
      </c>
      <c r="AR89" s="272">
        <v>42550</v>
      </c>
      <c r="AS89" s="271"/>
      <c r="AT89" s="271"/>
      <c r="AU89" s="271"/>
      <c r="AV89" s="277" t="s">
        <v>70</v>
      </c>
      <c r="AW89" s="274" t="s">
        <v>70</v>
      </c>
      <c r="AX89" s="271"/>
      <c r="AY89" s="297">
        <v>45196</v>
      </c>
      <c r="AZ89" s="304"/>
      <c r="BA89" s="304"/>
      <c r="BB89" s="304"/>
      <c r="BC89" s="304"/>
      <c r="BD89" s="304"/>
      <c r="BE89" s="304"/>
      <c r="BF89" s="272"/>
      <c r="BG89" s="326"/>
      <c r="BH89" s="285" t="s">
        <v>1533</v>
      </c>
    </row>
    <row r="90" spans="1:60" s="76" customFormat="1" ht="20.100000000000001" customHeight="1">
      <c r="A90" s="190">
        <v>85</v>
      </c>
      <c r="B90" s="302" t="s">
        <v>167</v>
      </c>
      <c r="C90" s="192" t="s">
        <v>67</v>
      </c>
      <c r="D90" s="192" t="s">
        <v>85</v>
      </c>
      <c r="E90" s="293" t="s">
        <v>230</v>
      </c>
      <c r="F90" s="293" t="s">
        <v>231</v>
      </c>
      <c r="G90" s="279">
        <v>152821.29999999999</v>
      </c>
      <c r="H90" s="192">
        <v>1986</v>
      </c>
      <c r="I90" s="279">
        <v>1516</v>
      </c>
      <c r="J90" s="266">
        <f t="shared" si="11"/>
        <v>4499</v>
      </c>
      <c r="K90" s="279">
        <v>2789</v>
      </c>
      <c r="L90" s="279">
        <v>1035</v>
      </c>
      <c r="M90" s="279">
        <v>450</v>
      </c>
      <c r="N90" s="279">
        <v>135</v>
      </c>
      <c r="O90" s="279">
        <v>90</v>
      </c>
      <c r="P90" s="268">
        <f t="shared" si="14"/>
        <v>3487</v>
      </c>
      <c r="Q90" s="291">
        <v>1842</v>
      </c>
      <c r="R90" s="291">
        <v>1224</v>
      </c>
      <c r="S90" s="305">
        <v>421</v>
      </c>
      <c r="T90" s="268">
        <f t="shared" si="12"/>
        <v>3487</v>
      </c>
      <c r="U90" s="266">
        <f t="shared" si="15"/>
        <v>3066</v>
      </c>
      <c r="V90" s="279"/>
      <c r="W90" s="279">
        <v>1727</v>
      </c>
      <c r="X90" s="279">
        <v>1200</v>
      </c>
      <c r="Y90" s="279">
        <v>139</v>
      </c>
      <c r="Z90" s="279"/>
      <c r="AA90" s="266">
        <f>SUM(AB90:AD90)</f>
        <v>421</v>
      </c>
      <c r="AB90" s="279">
        <v>421</v>
      </c>
      <c r="AC90" s="279"/>
      <c r="AD90" s="279"/>
      <c r="AE90" s="266">
        <f t="shared" si="13"/>
        <v>-1012</v>
      </c>
      <c r="AF90" s="269" t="s">
        <v>196</v>
      </c>
      <c r="AG90" s="269">
        <v>2.65</v>
      </c>
      <c r="AH90" s="295">
        <v>2079</v>
      </c>
      <c r="AI90" s="295">
        <v>1658</v>
      </c>
      <c r="AJ90" s="192" t="s">
        <v>92</v>
      </c>
      <c r="AK90" s="193">
        <v>2014</v>
      </c>
      <c r="AL90" s="193">
        <v>2027</v>
      </c>
      <c r="AM90" s="271">
        <v>39051</v>
      </c>
      <c r="AN90" s="271">
        <v>40908</v>
      </c>
      <c r="AO90" s="272">
        <v>41624</v>
      </c>
      <c r="AP90" s="272">
        <v>41740</v>
      </c>
      <c r="AQ90" s="272">
        <v>45474</v>
      </c>
      <c r="AR90" s="272">
        <v>41946</v>
      </c>
      <c r="AS90" s="271"/>
      <c r="AT90" s="271"/>
      <c r="AU90" s="271"/>
      <c r="AV90" s="277" t="s">
        <v>70</v>
      </c>
      <c r="AW90" s="274" t="s">
        <v>70</v>
      </c>
      <c r="AX90" s="271"/>
      <c r="AY90" s="297">
        <v>42507</v>
      </c>
      <c r="AZ90" s="297">
        <v>43570</v>
      </c>
      <c r="BA90" s="271">
        <v>44081</v>
      </c>
      <c r="BB90" s="271">
        <v>45406</v>
      </c>
      <c r="BC90" s="271">
        <v>45464</v>
      </c>
      <c r="BD90" s="271"/>
      <c r="BE90" s="271"/>
      <c r="BF90" s="272"/>
      <c r="BG90" s="325"/>
      <c r="BH90" s="285" t="s">
        <v>1526</v>
      </c>
    </row>
    <row r="91" spans="1:60" s="76" customFormat="1" ht="20.100000000000001" customHeight="1">
      <c r="A91" s="190">
        <v>86</v>
      </c>
      <c r="B91" s="193" t="s">
        <v>167</v>
      </c>
      <c r="C91" s="192" t="s">
        <v>67</v>
      </c>
      <c r="D91" s="192" t="s">
        <v>85</v>
      </c>
      <c r="E91" s="192" t="s">
        <v>232</v>
      </c>
      <c r="F91" s="192" t="s">
        <v>233</v>
      </c>
      <c r="G91" s="266">
        <v>67233.7</v>
      </c>
      <c r="H91" s="193">
        <v>1985</v>
      </c>
      <c r="I91" s="266">
        <v>624</v>
      </c>
      <c r="J91" s="266">
        <f t="shared" si="11"/>
        <v>1345</v>
      </c>
      <c r="K91" s="266">
        <v>848</v>
      </c>
      <c r="L91" s="266">
        <v>316</v>
      </c>
      <c r="M91" s="266">
        <v>121</v>
      </c>
      <c r="N91" s="266">
        <v>36</v>
      </c>
      <c r="O91" s="266">
        <v>24</v>
      </c>
      <c r="P91" s="268">
        <f t="shared" si="14"/>
        <v>1972</v>
      </c>
      <c r="Q91" s="268">
        <f>634+19</f>
        <v>653</v>
      </c>
      <c r="R91" s="268">
        <v>1319</v>
      </c>
      <c r="S91" s="268"/>
      <c r="T91" s="268">
        <f t="shared" si="12"/>
        <v>1972</v>
      </c>
      <c r="U91" s="266">
        <f t="shared" si="15"/>
        <v>1972</v>
      </c>
      <c r="V91" s="266"/>
      <c r="W91" s="266">
        <v>1176</v>
      </c>
      <c r="X91" s="266">
        <v>144</v>
      </c>
      <c r="Y91" s="266">
        <v>652</v>
      </c>
      <c r="Z91" s="266">
        <v>0</v>
      </c>
      <c r="AA91" s="266"/>
      <c r="AB91" s="266"/>
      <c r="AC91" s="266"/>
      <c r="AD91" s="266"/>
      <c r="AE91" s="266">
        <f t="shared" si="13"/>
        <v>627</v>
      </c>
      <c r="AF91" s="269">
        <v>3</v>
      </c>
      <c r="AG91" s="269">
        <v>4</v>
      </c>
      <c r="AH91" s="270">
        <v>671</v>
      </c>
      <c r="AI91" s="270">
        <v>591</v>
      </c>
      <c r="AJ91" s="193" t="s">
        <v>92</v>
      </c>
      <c r="AK91" s="193">
        <v>2006</v>
      </c>
      <c r="AL91" s="193">
        <v>2023</v>
      </c>
      <c r="AM91" s="271">
        <v>39051</v>
      </c>
      <c r="AN91" s="271">
        <v>39813</v>
      </c>
      <c r="AO91" s="271">
        <v>40023</v>
      </c>
      <c r="AP91" s="272">
        <v>40421</v>
      </c>
      <c r="AQ91" s="272">
        <v>43353</v>
      </c>
      <c r="AR91" s="272">
        <v>40555</v>
      </c>
      <c r="AS91" s="272"/>
      <c r="AT91" s="272"/>
      <c r="AU91" s="272"/>
      <c r="AV91" s="277" t="s">
        <v>70</v>
      </c>
      <c r="AW91" s="274" t="s">
        <v>70</v>
      </c>
      <c r="AX91" s="272"/>
      <c r="AY91" s="297">
        <v>40863</v>
      </c>
      <c r="AZ91" s="297">
        <v>43549</v>
      </c>
      <c r="BA91" s="271">
        <v>44231</v>
      </c>
      <c r="BB91" s="271">
        <v>45306</v>
      </c>
      <c r="BC91" s="271">
        <v>45548</v>
      </c>
      <c r="BD91" s="272"/>
      <c r="BE91" s="272"/>
      <c r="BF91" s="272"/>
      <c r="BG91" s="323"/>
      <c r="BH91" s="285" t="s">
        <v>1532</v>
      </c>
    </row>
    <row r="92" spans="1:60" s="76" customFormat="1" ht="20.100000000000001" customHeight="1">
      <c r="A92" s="190">
        <v>87</v>
      </c>
      <c r="B92" s="193" t="s">
        <v>167</v>
      </c>
      <c r="C92" s="192" t="s">
        <v>68</v>
      </c>
      <c r="D92" s="192" t="s">
        <v>85</v>
      </c>
      <c r="E92" s="192" t="s">
        <v>234</v>
      </c>
      <c r="F92" s="192" t="s">
        <v>235</v>
      </c>
      <c r="G92" s="301">
        <v>210290.5</v>
      </c>
      <c r="H92" s="193">
        <v>1971</v>
      </c>
      <c r="I92" s="266">
        <v>1772</v>
      </c>
      <c r="J92" s="266">
        <f t="shared" si="11"/>
        <v>6488</v>
      </c>
      <c r="K92" s="266">
        <v>4022</v>
      </c>
      <c r="L92" s="266">
        <v>1492</v>
      </c>
      <c r="M92" s="266">
        <v>649</v>
      </c>
      <c r="N92" s="266">
        <v>195</v>
      </c>
      <c r="O92" s="266">
        <v>130</v>
      </c>
      <c r="P92" s="268">
        <f t="shared" si="14"/>
        <v>4774</v>
      </c>
      <c r="Q92" s="268">
        <v>2225</v>
      </c>
      <c r="R92" s="268">
        <v>1737</v>
      </c>
      <c r="S92" s="268">
        <v>812</v>
      </c>
      <c r="T92" s="268">
        <f t="shared" si="12"/>
        <v>4774</v>
      </c>
      <c r="U92" s="266">
        <f t="shared" si="15"/>
        <v>3962</v>
      </c>
      <c r="V92" s="266"/>
      <c r="W92" s="266">
        <f>71+1+38+1228+606</f>
        <v>1944</v>
      </c>
      <c r="X92" s="266">
        <f>315+996+629+78</f>
        <v>2018</v>
      </c>
      <c r="Y92" s="266"/>
      <c r="Z92" s="266"/>
      <c r="AA92" s="266">
        <f>SUM(AB92:AD92)</f>
        <v>812</v>
      </c>
      <c r="AB92" s="266">
        <v>452</v>
      </c>
      <c r="AC92" s="266">
        <v>360</v>
      </c>
      <c r="AD92" s="266"/>
      <c r="AE92" s="266">
        <f t="shared" si="13"/>
        <v>-1714</v>
      </c>
      <c r="AF92" s="269">
        <v>1.5</v>
      </c>
      <c r="AG92" s="269">
        <v>2.63</v>
      </c>
      <c r="AH92" s="270">
        <v>2022</v>
      </c>
      <c r="AI92" s="270"/>
      <c r="AJ92" s="193" t="s">
        <v>105</v>
      </c>
      <c r="AK92" s="193">
        <v>2008</v>
      </c>
      <c r="AL92" s="193">
        <v>2023</v>
      </c>
      <c r="AM92" s="271">
        <v>39051</v>
      </c>
      <c r="AN92" s="271"/>
      <c r="AO92" s="272"/>
      <c r="AP92" s="272">
        <v>39778</v>
      </c>
      <c r="AQ92" s="272">
        <v>43710</v>
      </c>
      <c r="AR92" s="272"/>
      <c r="AS92" s="272"/>
      <c r="AT92" s="272"/>
      <c r="AU92" s="272"/>
      <c r="AV92" s="277" t="s">
        <v>70</v>
      </c>
      <c r="AW92" s="274" t="s">
        <v>70</v>
      </c>
      <c r="AX92" s="272"/>
      <c r="AY92" s="297">
        <v>40151</v>
      </c>
      <c r="AZ92" s="272">
        <v>40151</v>
      </c>
      <c r="BA92" s="272">
        <v>42912</v>
      </c>
      <c r="BB92" s="272">
        <v>43959</v>
      </c>
      <c r="BC92" s="272">
        <v>44054</v>
      </c>
      <c r="BD92" s="272">
        <v>45595</v>
      </c>
      <c r="BE92" s="272"/>
      <c r="BF92" s="272"/>
      <c r="BG92" s="323"/>
      <c r="BH92" s="285" t="s">
        <v>1530</v>
      </c>
    </row>
    <row r="93" spans="1:60" s="76" customFormat="1" ht="20.100000000000001" customHeight="1">
      <c r="A93" s="190">
        <v>88</v>
      </c>
      <c r="B93" s="193" t="s">
        <v>167</v>
      </c>
      <c r="C93" s="192" t="s">
        <v>68</v>
      </c>
      <c r="D93" s="192" t="s">
        <v>85</v>
      </c>
      <c r="E93" s="192" t="s">
        <v>236</v>
      </c>
      <c r="F93" s="192" t="s">
        <v>237</v>
      </c>
      <c r="G93" s="266">
        <v>108062.3</v>
      </c>
      <c r="H93" s="193">
        <v>1965</v>
      </c>
      <c r="I93" s="266">
        <v>1131</v>
      </c>
      <c r="J93" s="266">
        <f t="shared" si="11"/>
        <v>3715</v>
      </c>
      <c r="K93" s="266">
        <v>2304</v>
      </c>
      <c r="L93" s="266">
        <v>854</v>
      </c>
      <c r="M93" s="266">
        <v>372</v>
      </c>
      <c r="N93" s="266">
        <v>111</v>
      </c>
      <c r="O93" s="266">
        <v>74</v>
      </c>
      <c r="P93" s="268">
        <f t="shared" si="14"/>
        <v>2411</v>
      </c>
      <c r="Q93" s="268">
        <v>984</v>
      </c>
      <c r="R93" s="268">
        <v>1015</v>
      </c>
      <c r="S93" s="268">
        <v>412</v>
      </c>
      <c r="T93" s="268">
        <f t="shared" si="12"/>
        <v>2411</v>
      </c>
      <c r="U93" s="266">
        <f t="shared" si="15"/>
        <v>1999</v>
      </c>
      <c r="V93" s="266"/>
      <c r="W93" s="266">
        <v>976</v>
      </c>
      <c r="X93" s="266">
        <v>1023</v>
      </c>
      <c r="Y93" s="266"/>
      <c r="Z93" s="266"/>
      <c r="AA93" s="266">
        <f>SUM(AB93:AD93)</f>
        <v>412</v>
      </c>
      <c r="AB93" s="266">
        <v>140</v>
      </c>
      <c r="AC93" s="266">
        <v>272</v>
      </c>
      <c r="AD93" s="266"/>
      <c r="AE93" s="266">
        <f t="shared" si="13"/>
        <v>-1304</v>
      </c>
      <c r="AF93" s="269">
        <v>1.5</v>
      </c>
      <c r="AG93" s="269">
        <v>2.6</v>
      </c>
      <c r="AH93" s="270">
        <v>998</v>
      </c>
      <c r="AI93" s="270"/>
      <c r="AJ93" s="193" t="s">
        <v>105</v>
      </c>
      <c r="AK93" s="193">
        <v>2008</v>
      </c>
      <c r="AL93" s="193">
        <v>2023</v>
      </c>
      <c r="AM93" s="271">
        <v>39051</v>
      </c>
      <c r="AN93" s="271"/>
      <c r="AO93" s="272"/>
      <c r="AP93" s="272">
        <v>39778</v>
      </c>
      <c r="AQ93" s="272">
        <v>44809</v>
      </c>
      <c r="AR93" s="272"/>
      <c r="AS93" s="272"/>
      <c r="AT93" s="272"/>
      <c r="AU93" s="272"/>
      <c r="AV93" s="277" t="s">
        <v>70</v>
      </c>
      <c r="AW93" s="274" t="s">
        <v>70</v>
      </c>
      <c r="AX93" s="272"/>
      <c r="AY93" s="297">
        <v>40151</v>
      </c>
      <c r="AZ93" s="272">
        <v>40151</v>
      </c>
      <c r="BA93" s="272">
        <v>42681</v>
      </c>
      <c r="BB93" s="272">
        <v>43699</v>
      </c>
      <c r="BC93" s="272">
        <v>43606</v>
      </c>
      <c r="BD93" s="272">
        <v>44824</v>
      </c>
      <c r="BE93" s="272">
        <v>45068</v>
      </c>
      <c r="BF93" s="272"/>
      <c r="BG93" s="323"/>
      <c r="BH93" s="285" t="s">
        <v>1531</v>
      </c>
    </row>
    <row r="94" spans="1:60" s="61" customFormat="1" ht="20.100000000000001" customHeight="1">
      <c r="A94" s="190">
        <v>89</v>
      </c>
      <c r="B94" s="193" t="s">
        <v>167</v>
      </c>
      <c r="C94" s="192" t="s">
        <v>68</v>
      </c>
      <c r="D94" s="192" t="s">
        <v>85</v>
      </c>
      <c r="E94" s="192" t="s">
        <v>238</v>
      </c>
      <c r="F94" s="192" t="s">
        <v>239</v>
      </c>
      <c r="G94" s="266">
        <v>233191.6</v>
      </c>
      <c r="H94" s="193">
        <v>1970</v>
      </c>
      <c r="I94" s="266">
        <v>1950</v>
      </c>
      <c r="J94" s="266">
        <f t="shared" si="11"/>
        <v>7499</v>
      </c>
      <c r="K94" s="266">
        <v>4649</v>
      </c>
      <c r="L94" s="266">
        <v>1725</v>
      </c>
      <c r="M94" s="266">
        <v>750</v>
      </c>
      <c r="N94" s="266">
        <v>225</v>
      </c>
      <c r="O94" s="266">
        <v>150</v>
      </c>
      <c r="P94" s="268">
        <f t="shared" si="14"/>
        <v>5320</v>
      </c>
      <c r="Q94" s="268">
        <v>2073</v>
      </c>
      <c r="R94" s="268">
        <v>2339</v>
      </c>
      <c r="S94" s="268">
        <v>908</v>
      </c>
      <c r="T94" s="268">
        <f t="shared" si="12"/>
        <v>5320</v>
      </c>
      <c r="U94" s="266">
        <f t="shared" si="15"/>
        <v>4412</v>
      </c>
      <c r="V94" s="266"/>
      <c r="W94" s="266">
        <v>2409</v>
      </c>
      <c r="X94" s="266">
        <v>2003</v>
      </c>
      <c r="Y94" s="266"/>
      <c r="Z94" s="266"/>
      <c r="AA94" s="266">
        <f>SUM(AB94:AD94)</f>
        <v>908</v>
      </c>
      <c r="AB94" s="266">
        <v>311</v>
      </c>
      <c r="AC94" s="266">
        <v>597</v>
      </c>
      <c r="AD94" s="266"/>
      <c r="AE94" s="266">
        <f t="shared" si="13"/>
        <v>-2179</v>
      </c>
      <c r="AF94" s="269">
        <v>1.5</v>
      </c>
      <c r="AG94" s="269">
        <v>2.6446999999999998</v>
      </c>
      <c r="AH94" s="270">
        <v>2015</v>
      </c>
      <c r="AI94" s="270"/>
      <c r="AJ94" s="193" t="s">
        <v>105</v>
      </c>
      <c r="AK94" s="193">
        <v>2008</v>
      </c>
      <c r="AL94" s="193">
        <v>2023</v>
      </c>
      <c r="AM94" s="271">
        <v>39051</v>
      </c>
      <c r="AN94" s="271"/>
      <c r="AO94" s="272"/>
      <c r="AP94" s="272">
        <v>39778</v>
      </c>
      <c r="AQ94" s="272">
        <v>44845</v>
      </c>
      <c r="AR94" s="272"/>
      <c r="AS94" s="272"/>
      <c r="AT94" s="272"/>
      <c r="AU94" s="272"/>
      <c r="AV94" s="277" t="s">
        <v>70</v>
      </c>
      <c r="AW94" s="274" t="s">
        <v>70</v>
      </c>
      <c r="AX94" s="272"/>
      <c r="AY94" s="297">
        <v>40151</v>
      </c>
      <c r="AZ94" s="272">
        <v>40151</v>
      </c>
      <c r="BA94" s="272">
        <v>42681</v>
      </c>
      <c r="BB94" s="272">
        <v>43626</v>
      </c>
      <c r="BC94" s="272">
        <v>43606</v>
      </c>
      <c r="BD94" s="272">
        <v>45107</v>
      </c>
      <c r="BE94" s="272">
        <v>45229</v>
      </c>
      <c r="BF94" s="272"/>
      <c r="BG94" s="323"/>
      <c r="BH94" s="285" t="s">
        <v>1531</v>
      </c>
    </row>
    <row r="95" spans="1:60" s="76" customFormat="1" ht="19.5" customHeight="1">
      <c r="A95" s="190">
        <v>90</v>
      </c>
      <c r="B95" s="193" t="s">
        <v>167</v>
      </c>
      <c r="C95" s="192" t="s">
        <v>68</v>
      </c>
      <c r="D95" s="192" t="s">
        <v>112</v>
      </c>
      <c r="E95" s="192" t="s">
        <v>240</v>
      </c>
      <c r="F95" s="193" t="s">
        <v>241</v>
      </c>
      <c r="G95" s="279">
        <v>46786</v>
      </c>
      <c r="H95" s="306" t="s">
        <v>195</v>
      </c>
      <c r="I95" s="307">
        <v>421</v>
      </c>
      <c r="J95" s="266">
        <f t="shared" si="11"/>
        <v>1219</v>
      </c>
      <c r="K95" s="279"/>
      <c r="L95" s="266"/>
      <c r="M95" s="279">
        <v>1219</v>
      </c>
      <c r="N95" s="266"/>
      <c r="O95" s="266"/>
      <c r="P95" s="268"/>
      <c r="Q95" s="268"/>
      <c r="R95" s="268"/>
      <c r="S95" s="268"/>
      <c r="T95" s="268">
        <f t="shared" si="12"/>
        <v>0</v>
      </c>
      <c r="U95" s="266"/>
      <c r="V95" s="266" t="s">
        <v>116</v>
      </c>
      <c r="W95" s="266"/>
      <c r="X95" s="266"/>
      <c r="Y95" s="266"/>
      <c r="Z95" s="266"/>
      <c r="AA95" s="266"/>
      <c r="AB95" s="266"/>
      <c r="AC95" s="266"/>
      <c r="AD95" s="266"/>
      <c r="AE95" s="266">
        <f t="shared" si="13"/>
        <v>-1219</v>
      </c>
      <c r="AF95" s="269">
        <v>2.1</v>
      </c>
      <c r="AG95" s="269"/>
      <c r="AH95" s="270">
        <v>479</v>
      </c>
      <c r="AI95" s="270"/>
      <c r="AJ95" s="193" t="s">
        <v>117</v>
      </c>
      <c r="AK95" s="192">
        <v>2014</v>
      </c>
      <c r="AL95" s="193">
        <v>2021</v>
      </c>
      <c r="AM95" s="271">
        <v>42823</v>
      </c>
      <c r="AN95" s="271">
        <v>42821</v>
      </c>
      <c r="AO95" s="272">
        <v>42821</v>
      </c>
      <c r="AP95" s="272">
        <v>42821</v>
      </c>
      <c r="AQ95" s="272">
        <v>44550</v>
      </c>
      <c r="AR95" s="272"/>
      <c r="AS95" s="272"/>
      <c r="AT95" s="272"/>
      <c r="AU95" s="272"/>
      <c r="AV95" s="277" t="s">
        <v>70</v>
      </c>
      <c r="AW95" s="274" t="s">
        <v>70</v>
      </c>
      <c r="AX95" s="272"/>
      <c r="AY95" s="272"/>
      <c r="AZ95" s="272">
        <v>43878</v>
      </c>
      <c r="BA95" s="272"/>
      <c r="BB95" s="272">
        <v>43913</v>
      </c>
      <c r="BC95" s="272"/>
      <c r="BD95" s="272">
        <v>44557</v>
      </c>
      <c r="BE95" s="272"/>
      <c r="BF95" s="272"/>
      <c r="BG95" s="323"/>
      <c r="BH95" s="285" t="s">
        <v>1534</v>
      </c>
    </row>
    <row r="96" spans="1:60" s="76" customFormat="1" ht="20.100000000000001" customHeight="1">
      <c r="A96" s="190">
        <v>91</v>
      </c>
      <c r="B96" s="193" t="s">
        <v>167</v>
      </c>
      <c r="C96" s="192" t="s">
        <v>68</v>
      </c>
      <c r="D96" s="192" t="s">
        <v>112</v>
      </c>
      <c r="E96" s="192" t="s">
        <v>242</v>
      </c>
      <c r="F96" s="193" t="s">
        <v>243</v>
      </c>
      <c r="G96" s="279">
        <v>48852</v>
      </c>
      <c r="H96" s="306" t="s">
        <v>195</v>
      </c>
      <c r="I96" s="307">
        <v>499</v>
      </c>
      <c r="J96" s="266">
        <f t="shared" si="11"/>
        <v>499</v>
      </c>
      <c r="K96" s="279"/>
      <c r="L96" s="266"/>
      <c r="M96" s="279">
        <v>499</v>
      </c>
      <c r="N96" s="266"/>
      <c r="O96" s="266"/>
      <c r="P96" s="268"/>
      <c r="Q96" s="268"/>
      <c r="R96" s="268"/>
      <c r="S96" s="268"/>
      <c r="T96" s="268">
        <f t="shared" si="12"/>
        <v>0</v>
      </c>
      <c r="U96" s="266"/>
      <c r="V96" s="266" t="s">
        <v>116</v>
      </c>
      <c r="W96" s="266"/>
      <c r="X96" s="266"/>
      <c r="Y96" s="266"/>
      <c r="Z96" s="266"/>
      <c r="AA96" s="266"/>
      <c r="AB96" s="266"/>
      <c r="AC96" s="266"/>
      <c r="AD96" s="266"/>
      <c r="AE96" s="266">
        <f t="shared" si="13"/>
        <v>-499</v>
      </c>
      <c r="AF96" s="269">
        <v>2.1</v>
      </c>
      <c r="AG96" s="269"/>
      <c r="AH96" s="270">
        <v>523</v>
      </c>
      <c r="AI96" s="270"/>
      <c r="AJ96" s="193" t="s">
        <v>117</v>
      </c>
      <c r="AK96" s="192">
        <v>2014</v>
      </c>
      <c r="AL96" s="193">
        <v>2021</v>
      </c>
      <c r="AM96" s="271">
        <v>42823</v>
      </c>
      <c r="AN96" s="271">
        <v>42823</v>
      </c>
      <c r="AO96" s="272">
        <v>42823</v>
      </c>
      <c r="AP96" s="272">
        <v>42823</v>
      </c>
      <c r="AQ96" s="272">
        <v>44522</v>
      </c>
      <c r="AR96" s="272"/>
      <c r="AS96" s="272"/>
      <c r="AT96" s="272"/>
      <c r="AU96" s="272"/>
      <c r="AV96" s="277" t="s">
        <v>70</v>
      </c>
      <c r="AW96" s="274" t="s">
        <v>70</v>
      </c>
      <c r="AX96" s="272"/>
      <c r="AY96" s="272"/>
      <c r="AZ96" s="272">
        <v>43878</v>
      </c>
      <c r="BA96" s="272"/>
      <c r="BB96" s="272">
        <v>43917</v>
      </c>
      <c r="BC96" s="272"/>
      <c r="BD96" s="272">
        <v>44529</v>
      </c>
      <c r="BE96" s="272"/>
      <c r="BF96" s="272"/>
      <c r="BG96" s="323"/>
      <c r="BH96" s="285" t="s">
        <v>1534</v>
      </c>
    </row>
    <row r="97" spans="1:60" s="76" customFormat="1" ht="20.100000000000001" customHeight="1">
      <c r="A97" s="190">
        <v>92</v>
      </c>
      <c r="B97" s="193" t="s">
        <v>167</v>
      </c>
      <c r="C97" s="192" t="s">
        <v>68</v>
      </c>
      <c r="D97" s="192" t="s">
        <v>112</v>
      </c>
      <c r="E97" s="192" t="s">
        <v>244</v>
      </c>
      <c r="F97" s="193" t="s">
        <v>245</v>
      </c>
      <c r="G97" s="279">
        <v>35214</v>
      </c>
      <c r="H97" s="306" t="s">
        <v>195</v>
      </c>
      <c r="I97" s="307">
        <v>330</v>
      </c>
      <c r="J97" s="266">
        <f t="shared" si="11"/>
        <v>905</v>
      </c>
      <c r="K97" s="279"/>
      <c r="L97" s="266"/>
      <c r="M97" s="279">
        <v>905</v>
      </c>
      <c r="N97" s="266"/>
      <c r="O97" s="266"/>
      <c r="P97" s="268"/>
      <c r="Q97" s="268"/>
      <c r="R97" s="268"/>
      <c r="S97" s="268"/>
      <c r="T97" s="268">
        <f t="shared" si="12"/>
        <v>0</v>
      </c>
      <c r="U97" s="266"/>
      <c r="V97" s="266" t="s">
        <v>116</v>
      </c>
      <c r="W97" s="266"/>
      <c r="X97" s="266"/>
      <c r="Y97" s="266"/>
      <c r="Z97" s="266"/>
      <c r="AA97" s="266"/>
      <c r="AB97" s="266"/>
      <c r="AC97" s="266"/>
      <c r="AD97" s="266"/>
      <c r="AE97" s="266">
        <f t="shared" si="13"/>
        <v>-905</v>
      </c>
      <c r="AF97" s="269">
        <v>2.1</v>
      </c>
      <c r="AG97" s="269"/>
      <c r="AH97" s="270">
        <v>330</v>
      </c>
      <c r="AI97" s="270"/>
      <c r="AJ97" s="193" t="s">
        <v>117</v>
      </c>
      <c r="AK97" s="192">
        <v>2015</v>
      </c>
      <c r="AL97" s="193">
        <v>2021</v>
      </c>
      <c r="AM97" s="271">
        <v>42821</v>
      </c>
      <c r="AN97" s="271">
        <v>42821</v>
      </c>
      <c r="AO97" s="272">
        <v>42821</v>
      </c>
      <c r="AP97" s="272">
        <v>42821</v>
      </c>
      <c r="AQ97" s="272">
        <v>44522</v>
      </c>
      <c r="AR97" s="272"/>
      <c r="AS97" s="272"/>
      <c r="AT97" s="272"/>
      <c r="AU97" s="272"/>
      <c r="AV97" s="277" t="s">
        <v>70</v>
      </c>
      <c r="AW97" s="274" t="s">
        <v>70</v>
      </c>
      <c r="AX97" s="272"/>
      <c r="AY97" s="272"/>
      <c r="AZ97" s="272">
        <v>43829</v>
      </c>
      <c r="BA97" s="272"/>
      <c r="BB97" s="272">
        <v>43819</v>
      </c>
      <c r="BC97" s="272"/>
      <c r="BD97" s="272">
        <v>44529</v>
      </c>
      <c r="BE97" s="272"/>
      <c r="BF97" s="272"/>
      <c r="BG97" s="323"/>
      <c r="BH97" s="285" t="s">
        <v>1534</v>
      </c>
    </row>
    <row r="98" spans="1:60" s="76" customFormat="1" ht="20.100000000000001" customHeight="1">
      <c r="A98" s="190">
        <v>93</v>
      </c>
      <c r="B98" s="293" t="s">
        <v>167</v>
      </c>
      <c r="C98" s="192" t="s">
        <v>68</v>
      </c>
      <c r="D98" s="192" t="s">
        <v>85</v>
      </c>
      <c r="E98" s="293" t="s">
        <v>246</v>
      </c>
      <c r="F98" s="293" t="s">
        <v>247</v>
      </c>
      <c r="G98" s="279">
        <v>75063</v>
      </c>
      <c r="H98" s="303">
        <v>1985</v>
      </c>
      <c r="I98" s="279">
        <v>516</v>
      </c>
      <c r="J98" s="266">
        <f t="shared" si="11"/>
        <v>1897</v>
      </c>
      <c r="K98" s="279">
        <v>1176</v>
      </c>
      <c r="L98" s="279">
        <v>436</v>
      </c>
      <c r="M98" s="279">
        <v>190</v>
      </c>
      <c r="N98" s="279">
        <v>57</v>
      </c>
      <c r="O98" s="279">
        <v>38</v>
      </c>
      <c r="P98" s="268">
        <f>SUM(Q98:S98)</f>
        <v>1228</v>
      </c>
      <c r="Q98" s="268">
        <v>1015</v>
      </c>
      <c r="R98" s="268"/>
      <c r="S98" s="268">
        <v>213</v>
      </c>
      <c r="T98" s="268">
        <f t="shared" si="12"/>
        <v>1228</v>
      </c>
      <c r="U98" s="266">
        <f>SUM(V98:Z98)</f>
        <v>1015</v>
      </c>
      <c r="V98" s="279"/>
      <c r="W98" s="279">
        <v>297</v>
      </c>
      <c r="X98" s="279">
        <v>479</v>
      </c>
      <c r="Y98" s="279">
        <v>239</v>
      </c>
      <c r="Z98" s="279"/>
      <c r="AA98" s="266">
        <f>SUM(AB98:AD98)</f>
        <v>213</v>
      </c>
      <c r="AB98" s="279">
        <v>127</v>
      </c>
      <c r="AC98" s="279">
        <v>86</v>
      </c>
      <c r="AD98" s="279"/>
      <c r="AE98" s="266">
        <f t="shared" si="13"/>
        <v>-669</v>
      </c>
      <c r="AF98" s="269">
        <v>1.4</v>
      </c>
      <c r="AG98" s="269">
        <v>2.25</v>
      </c>
      <c r="AH98" s="295">
        <v>680</v>
      </c>
      <c r="AI98" s="295"/>
      <c r="AJ98" s="192" t="s">
        <v>105</v>
      </c>
      <c r="AK98" s="192">
        <v>2002</v>
      </c>
      <c r="AL98" s="193">
        <v>2023</v>
      </c>
      <c r="AM98" s="271">
        <v>39051</v>
      </c>
      <c r="AN98" s="271"/>
      <c r="AO98" s="272"/>
      <c r="AP98" s="272">
        <v>38663</v>
      </c>
      <c r="AQ98" s="272">
        <v>40728</v>
      </c>
      <c r="AR98" s="272"/>
      <c r="AS98" s="272"/>
      <c r="AT98" s="272"/>
      <c r="AU98" s="272"/>
      <c r="AV98" s="277" t="s">
        <v>70</v>
      </c>
      <c r="AW98" s="274" t="s">
        <v>70</v>
      </c>
      <c r="AX98" s="272"/>
      <c r="AY98" s="297">
        <v>39346</v>
      </c>
      <c r="AZ98" s="271">
        <v>39346</v>
      </c>
      <c r="BA98" s="271">
        <v>39608</v>
      </c>
      <c r="BB98" s="271">
        <v>40022</v>
      </c>
      <c r="BC98" s="271">
        <v>40865</v>
      </c>
      <c r="BD98" s="271">
        <v>41607</v>
      </c>
      <c r="BE98" s="271">
        <v>42492</v>
      </c>
      <c r="BF98" s="272"/>
      <c r="BG98" s="325"/>
      <c r="BH98" s="285" t="s">
        <v>1530</v>
      </c>
    </row>
    <row r="99" spans="1:60" s="76" customFormat="1" ht="20.100000000000001" customHeight="1">
      <c r="A99" s="190">
        <v>94</v>
      </c>
      <c r="B99" s="293" t="s">
        <v>167</v>
      </c>
      <c r="C99" s="192" t="s">
        <v>68</v>
      </c>
      <c r="D99" s="192" t="s">
        <v>85</v>
      </c>
      <c r="E99" s="293" t="s">
        <v>248</v>
      </c>
      <c r="F99" s="293" t="s">
        <v>249</v>
      </c>
      <c r="G99" s="279">
        <v>40239</v>
      </c>
      <c r="H99" s="192">
        <v>1970</v>
      </c>
      <c r="I99" s="279">
        <v>282</v>
      </c>
      <c r="J99" s="266">
        <f t="shared" si="11"/>
        <v>898</v>
      </c>
      <c r="K99" s="279">
        <v>556</v>
      </c>
      <c r="L99" s="279">
        <v>207</v>
      </c>
      <c r="M99" s="279">
        <v>90</v>
      </c>
      <c r="N99" s="279">
        <v>27</v>
      </c>
      <c r="O99" s="279">
        <v>18</v>
      </c>
      <c r="P99" s="268">
        <f>SUM(Q99:S99)</f>
        <v>672</v>
      </c>
      <c r="Q99" s="268">
        <v>323</v>
      </c>
      <c r="R99" s="268">
        <v>222</v>
      </c>
      <c r="S99" s="268">
        <v>127</v>
      </c>
      <c r="T99" s="268">
        <f t="shared" si="12"/>
        <v>672</v>
      </c>
      <c r="U99" s="266">
        <f>SUM(V99:Z99)</f>
        <v>545</v>
      </c>
      <c r="V99" s="279"/>
      <c r="W99" s="279">
        <v>187</v>
      </c>
      <c r="X99" s="279">
        <v>288</v>
      </c>
      <c r="Y99" s="279">
        <v>70</v>
      </c>
      <c r="Z99" s="279"/>
      <c r="AA99" s="266">
        <f>SUM(AB99:AD99)</f>
        <v>127</v>
      </c>
      <c r="AB99" s="279">
        <v>62</v>
      </c>
      <c r="AC99" s="279">
        <v>65</v>
      </c>
      <c r="AD99" s="279"/>
      <c r="AE99" s="266">
        <f t="shared" si="13"/>
        <v>-226</v>
      </c>
      <c r="AF99" s="269">
        <v>1.5</v>
      </c>
      <c r="AG99" s="269">
        <v>2.39</v>
      </c>
      <c r="AH99" s="295">
        <v>330</v>
      </c>
      <c r="AI99" s="295"/>
      <c r="AJ99" s="192" t="s">
        <v>105</v>
      </c>
      <c r="AK99" s="192">
        <v>2003</v>
      </c>
      <c r="AL99" s="193">
        <v>2023</v>
      </c>
      <c r="AM99" s="271">
        <v>39051</v>
      </c>
      <c r="AN99" s="271"/>
      <c r="AO99" s="272"/>
      <c r="AP99" s="272">
        <v>38723</v>
      </c>
      <c r="AQ99" s="272">
        <v>40728</v>
      </c>
      <c r="AR99" s="272"/>
      <c r="AS99" s="272"/>
      <c r="AT99" s="272"/>
      <c r="AU99" s="272"/>
      <c r="AV99" s="277" t="s">
        <v>70</v>
      </c>
      <c r="AW99" s="274" t="s">
        <v>70</v>
      </c>
      <c r="AX99" s="272"/>
      <c r="AY99" s="297">
        <v>39154</v>
      </c>
      <c r="AZ99" s="271">
        <v>39154</v>
      </c>
      <c r="BA99" s="271">
        <v>39507</v>
      </c>
      <c r="BB99" s="271">
        <v>40033</v>
      </c>
      <c r="BC99" s="271">
        <v>40844</v>
      </c>
      <c r="BD99" s="271">
        <v>41639</v>
      </c>
      <c r="BE99" s="271">
        <v>42492</v>
      </c>
      <c r="BF99" s="272"/>
      <c r="BG99" s="325"/>
      <c r="BH99" s="285" t="s">
        <v>1531</v>
      </c>
    </row>
    <row r="100" spans="1:60" s="61" customFormat="1" ht="20.100000000000001" customHeight="1">
      <c r="A100" s="190">
        <v>95</v>
      </c>
      <c r="B100" s="193" t="s">
        <v>167</v>
      </c>
      <c r="C100" s="192" t="s">
        <v>68</v>
      </c>
      <c r="D100" s="192" t="s">
        <v>112</v>
      </c>
      <c r="E100" s="192" t="s">
        <v>250</v>
      </c>
      <c r="F100" s="192" t="s">
        <v>251</v>
      </c>
      <c r="G100" s="266">
        <v>29560</v>
      </c>
      <c r="H100" s="306" t="s">
        <v>252</v>
      </c>
      <c r="I100" s="307">
        <v>221</v>
      </c>
      <c r="J100" s="266">
        <f t="shared" si="11"/>
        <v>712</v>
      </c>
      <c r="K100" s="279"/>
      <c r="L100" s="266"/>
      <c r="M100" s="279">
        <v>712</v>
      </c>
      <c r="N100" s="266"/>
      <c r="O100" s="266"/>
      <c r="P100" s="268"/>
      <c r="Q100" s="268"/>
      <c r="R100" s="268"/>
      <c r="S100" s="268"/>
      <c r="T100" s="268">
        <f t="shared" si="12"/>
        <v>0</v>
      </c>
      <c r="U100" s="266"/>
      <c r="V100" s="266" t="s">
        <v>116</v>
      </c>
      <c r="W100" s="266"/>
      <c r="X100" s="266"/>
      <c r="Y100" s="266"/>
      <c r="Z100" s="266"/>
      <c r="AA100" s="266"/>
      <c r="AB100" s="266"/>
      <c r="AC100" s="266"/>
      <c r="AD100" s="266"/>
      <c r="AE100" s="266">
        <f t="shared" si="13"/>
        <v>-712</v>
      </c>
      <c r="AF100" s="269">
        <v>2.9</v>
      </c>
      <c r="AG100" s="269">
        <v>2.1</v>
      </c>
      <c r="AH100" s="270">
        <v>238</v>
      </c>
      <c r="AI100" s="270"/>
      <c r="AJ100" s="193" t="s">
        <v>117</v>
      </c>
      <c r="AK100" s="193">
        <v>2004</v>
      </c>
      <c r="AL100" s="193">
        <v>2008</v>
      </c>
      <c r="AM100" s="271" t="s">
        <v>126</v>
      </c>
      <c r="AN100" s="271"/>
      <c r="AO100" s="271"/>
      <c r="AP100" s="272">
        <v>37802</v>
      </c>
      <c r="AQ100" s="272">
        <v>38896</v>
      </c>
      <c r="AR100" s="272"/>
      <c r="AS100" s="272"/>
      <c r="AT100" s="272"/>
      <c r="AU100" s="272"/>
      <c r="AV100" s="277" t="s">
        <v>70</v>
      </c>
      <c r="AW100" s="274" t="s">
        <v>70</v>
      </c>
      <c r="AX100" s="272"/>
      <c r="AY100" s="193"/>
      <c r="AZ100" s="272">
        <v>38167</v>
      </c>
      <c r="BA100" s="272"/>
      <c r="BB100" s="272">
        <v>38139</v>
      </c>
      <c r="BC100" s="272"/>
      <c r="BD100" s="272">
        <v>39559</v>
      </c>
      <c r="BE100" s="272"/>
      <c r="BF100" s="272"/>
      <c r="BG100" s="323"/>
      <c r="BH100" s="285" t="s">
        <v>1534</v>
      </c>
    </row>
    <row r="101" spans="1:60" s="61" customFormat="1" ht="20.100000000000001" customHeight="1">
      <c r="A101" s="190">
        <v>96</v>
      </c>
      <c r="B101" s="193" t="s">
        <v>167</v>
      </c>
      <c r="C101" s="192" t="s">
        <v>68</v>
      </c>
      <c r="D101" s="192" t="s">
        <v>112</v>
      </c>
      <c r="E101" s="192" t="s">
        <v>253</v>
      </c>
      <c r="F101" s="193" t="s">
        <v>254</v>
      </c>
      <c r="G101" s="279">
        <v>183209</v>
      </c>
      <c r="H101" s="306" t="s">
        <v>195</v>
      </c>
      <c r="I101" s="307">
        <v>1082</v>
      </c>
      <c r="J101" s="266">
        <f t="shared" si="11"/>
        <v>7669</v>
      </c>
      <c r="K101" s="279"/>
      <c r="L101" s="266"/>
      <c r="M101" s="279">
        <v>7669</v>
      </c>
      <c r="N101" s="266"/>
      <c r="O101" s="266"/>
      <c r="P101" s="268"/>
      <c r="Q101" s="268"/>
      <c r="R101" s="268"/>
      <c r="S101" s="268"/>
      <c r="T101" s="268">
        <f t="shared" si="12"/>
        <v>0</v>
      </c>
      <c r="U101" s="266"/>
      <c r="V101" s="266" t="s">
        <v>116</v>
      </c>
      <c r="W101" s="266"/>
      <c r="X101" s="266"/>
      <c r="Y101" s="266"/>
      <c r="Z101" s="266"/>
      <c r="AA101" s="266"/>
      <c r="AB101" s="266"/>
      <c r="AC101" s="266"/>
      <c r="AD101" s="266"/>
      <c r="AE101" s="266">
        <f t="shared" si="13"/>
        <v>-7669</v>
      </c>
      <c r="AF101" s="269" t="s">
        <v>255</v>
      </c>
      <c r="AG101" s="269">
        <v>2.1</v>
      </c>
      <c r="AH101" s="270">
        <v>2973</v>
      </c>
      <c r="AI101" s="270"/>
      <c r="AJ101" s="193" t="s">
        <v>256</v>
      </c>
      <c r="AK101" s="193">
        <v>2006</v>
      </c>
      <c r="AL101" s="193">
        <v>2015</v>
      </c>
      <c r="AM101" s="271">
        <v>39051</v>
      </c>
      <c r="AN101" s="271"/>
      <c r="AO101" s="272"/>
      <c r="AP101" s="272">
        <v>39384</v>
      </c>
      <c r="AQ101" s="272">
        <v>42338</v>
      </c>
      <c r="AR101" s="272"/>
      <c r="AS101" s="272"/>
      <c r="AT101" s="272"/>
      <c r="AU101" s="272"/>
      <c r="AV101" s="277" t="s">
        <v>70</v>
      </c>
      <c r="AW101" s="274" t="s">
        <v>70</v>
      </c>
      <c r="AX101" s="272"/>
      <c r="AY101" s="193"/>
      <c r="AZ101" s="272">
        <v>39979</v>
      </c>
      <c r="BA101" s="272"/>
      <c r="BB101" s="272">
        <v>41109</v>
      </c>
      <c r="BC101" s="272"/>
      <c r="BD101" s="272">
        <v>42338</v>
      </c>
      <c r="BE101" s="272"/>
      <c r="BF101" s="272"/>
      <c r="BG101" s="323"/>
      <c r="BH101" s="285" t="s">
        <v>1534</v>
      </c>
    </row>
    <row r="102" spans="1:60" s="76" customFormat="1" ht="20.100000000000001" customHeight="1">
      <c r="A102" s="190">
        <v>97</v>
      </c>
      <c r="B102" s="193" t="s">
        <v>167</v>
      </c>
      <c r="C102" s="192" t="s">
        <v>68</v>
      </c>
      <c r="D102" s="192" t="s">
        <v>112</v>
      </c>
      <c r="E102" s="192" t="s">
        <v>257</v>
      </c>
      <c r="F102" s="192" t="s">
        <v>258</v>
      </c>
      <c r="G102" s="266">
        <v>49265</v>
      </c>
      <c r="H102" s="193">
        <v>1990</v>
      </c>
      <c r="I102" s="266">
        <v>120</v>
      </c>
      <c r="J102" s="266">
        <f t="shared" si="11"/>
        <v>746</v>
      </c>
      <c r="K102" s="266">
        <v>746</v>
      </c>
      <c r="L102" s="279" t="s">
        <v>115</v>
      </c>
      <c r="M102" s="266"/>
      <c r="N102" s="266"/>
      <c r="O102" s="266"/>
      <c r="P102" s="268"/>
      <c r="Q102" s="268"/>
      <c r="R102" s="268"/>
      <c r="S102" s="268"/>
      <c r="T102" s="268">
        <f t="shared" si="12"/>
        <v>0</v>
      </c>
      <c r="U102" s="266"/>
      <c r="V102" s="266" t="s">
        <v>116</v>
      </c>
      <c r="W102" s="266"/>
      <c r="X102" s="266"/>
      <c r="Y102" s="266"/>
      <c r="Z102" s="266"/>
      <c r="AA102" s="266"/>
      <c r="AB102" s="266"/>
      <c r="AC102" s="266"/>
      <c r="AD102" s="266"/>
      <c r="AE102" s="266">
        <f t="shared" si="13"/>
        <v>-746</v>
      </c>
      <c r="AF102" s="269">
        <v>2.1</v>
      </c>
      <c r="AG102" s="269"/>
      <c r="AH102" s="270">
        <v>513</v>
      </c>
      <c r="AI102" s="270"/>
      <c r="AJ102" s="193" t="s">
        <v>117</v>
      </c>
      <c r="AK102" s="193">
        <v>2015</v>
      </c>
      <c r="AL102" s="193">
        <v>2018</v>
      </c>
      <c r="AM102" s="271">
        <v>42177</v>
      </c>
      <c r="AN102" s="271"/>
      <c r="AO102" s="272">
        <v>42177</v>
      </c>
      <c r="AP102" s="272">
        <v>42177</v>
      </c>
      <c r="AQ102" s="272"/>
      <c r="AR102" s="272"/>
      <c r="AS102" s="272"/>
      <c r="AT102" s="272"/>
      <c r="AU102" s="272"/>
      <c r="AV102" s="277" t="s">
        <v>70</v>
      </c>
      <c r="AW102" s="274" t="s">
        <v>70</v>
      </c>
      <c r="AX102" s="272"/>
      <c r="AY102" s="272"/>
      <c r="AZ102" s="272">
        <v>42758</v>
      </c>
      <c r="BA102" s="272"/>
      <c r="BB102" s="272">
        <v>42731</v>
      </c>
      <c r="BC102" s="272"/>
      <c r="BD102" s="272">
        <v>43458</v>
      </c>
      <c r="BE102" s="272"/>
      <c r="BF102" s="272"/>
      <c r="BG102" s="323"/>
      <c r="BH102" s="285" t="s">
        <v>1534</v>
      </c>
    </row>
    <row r="103" spans="1:60" s="76" customFormat="1" ht="20.100000000000001" customHeight="1">
      <c r="A103" s="190">
        <v>98</v>
      </c>
      <c r="B103" s="193" t="s">
        <v>167</v>
      </c>
      <c r="C103" s="192" t="s">
        <v>137</v>
      </c>
      <c r="D103" s="192" t="s">
        <v>73</v>
      </c>
      <c r="E103" s="192" t="s">
        <v>259</v>
      </c>
      <c r="F103" s="192" t="s">
        <v>260</v>
      </c>
      <c r="G103" s="266">
        <v>181292</v>
      </c>
      <c r="H103" s="193">
        <v>1986</v>
      </c>
      <c r="I103" s="266">
        <v>27</v>
      </c>
      <c r="J103" s="266">
        <f t="shared" si="11"/>
        <v>2406</v>
      </c>
      <c r="K103" s="266"/>
      <c r="L103" s="266"/>
      <c r="M103" s="266">
        <v>1008</v>
      </c>
      <c r="N103" s="266">
        <v>1398</v>
      </c>
      <c r="O103" s="266"/>
      <c r="P103" s="268">
        <f>SUM(Q103:S103)</f>
        <v>4089</v>
      </c>
      <c r="Q103" s="268">
        <v>2384</v>
      </c>
      <c r="R103" s="268">
        <v>1705</v>
      </c>
      <c r="S103" s="268"/>
      <c r="T103" s="268">
        <f t="shared" si="12"/>
        <v>4089</v>
      </c>
      <c r="U103" s="266">
        <f>SUM(V103:Z103)</f>
        <v>4089</v>
      </c>
      <c r="V103" s="266"/>
      <c r="W103" s="266">
        <v>564</v>
      </c>
      <c r="X103" s="266">
        <v>3425</v>
      </c>
      <c r="Y103" s="266">
        <v>100</v>
      </c>
      <c r="Z103" s="266"/>
      <c r="AA103" s="266"/>
      <c r="AB103" s="266"/>
      <c r="AC103" s="266"/>
      <c r="AD103" s="266"/>
      <c r="AE103" s="266">
        <f t="shared" si="13"/>
        <v>1683</v>
      </c>
      <c r="AF103" s="269">
        <v>1.34</v>
      </c>
      <c r="AG103" s="269">
        <v>2.4900000000000002</v>
      </c>
      <c r="AH103" s="281">
        <v>2353</v>
      </c>
      <c r="AI103" s="281">
        <v>2353</v>
      </c>
      <c r="AJ103" s="193" t="s">
        <v>92</v>
      </c>
      <c r="AK103" s="193">
        <v>2011</v>
      </c>
      <c r="AL103" s="193">
        <v>2020</v>
      </c>
      <c r="AM103" s="271">
        <v>40938</v>
      </c>
      <c r="AN103" s="271"/>
      <c r="AO103" s="272">
        <v>40907</v>
      </c>
      <c r="AP103" s="272">
        <v>40907</v>
      </c>
      <c r="AQ103" s="272">
        <v>40907</v>
      </c>
      <c r="AR103" s="272">
        <v>41008</v>
      </c>
      <c r="AS103" s="272"/>
      <c r="AT103" s="272"/>
      <c r="AU103" s="272">
        <v>37799</v>
      </c>
      <c r="AV103" s="277" t="s">
        <v>70</v>
      </c>
      <c r="AW103" s="274" t="s">
        <v>70</v>
      </c>
      <c r="AX103" s="272"/>
      <c r="AY103" s="272">
        <v>41542</v>
      </c>
      <c r="AZ103" s="272">
        <v>42209</v>
      </c>
      <c r="BA103" s="272">
        <v>42598</v>
      </c>
      <c r="BB103" s="272">
        <v>42965</v>
      </c>
      <c r="BC103" s="272">
        <v>42971</v>
      </c>
      <c r="BD103" s="272">
        <v>44042</v>
      </c>
      <c r="BE103" s="275">
        <v>44165</v>
      </c>
      <c r="BF103" s="272">
        <v>44985</v>
      </c>
      <c r="BG103" s="327"/>
      <c r="BH103" s="285" t="s">
        <v>1524</v>
      </c>
    </row>
    <row r="104" spans="1:60" s="76" customFormat="1" ht="20.100000000000001" customHeight="1">
      <c r="A104" s="190">
        <v>99</v>
      </c>
      <c r="B104" s="193" t="s">
        <v>167</v>
      </c>
      <c r="C104" s="192" t="s">
        <v>137</v>
      </c>
      <c r="D104" s="192" t="s">
        <v>73</v>
      </c>
      <c r="E104" s="192" t="s">
        <v>261</v>
      </c>
      <c r="F104" s="192" t="s">
        <v>262</v>
      </c>
      <c r="G104" s="266">
        <v>17915</v>
      </c>
      <c r="H104" s="193">
        <v>1987</v>
      </c>
      <c r="I104" s="266">
        <v>7</v>
      </c>
      <c r="J104" s="266">
        <f t="shared" si="11"/>
        <v>470</v>
      </c>
      <c r="K104" s="266"/>
      <c r="L104" s="266">
        <v>320</v>
      </c>
      <c r="M104" s="266">
        <v>150</v>
      </c>
      <c r="N104" s="266"/>
      <c r="O104" s="266"/>
      <c r="P104" s="268">
        <f>SUM(Q104:S104)</f>
        <v>503</v>
      </c>
      <c r="Q104" s="268">
        <v>307</v>
      </c>
      <c r="R104" s="268">
        <v>196</v>
      </c>
      <c r="S104" s="268"/>
      <c r="T104" s="268">
        <f t="shared" si="12"/>
        <v>503</v>
      </c>
      <c r="U104" s="266">
        <f>SUM(V104:Z104)</f>
        <v>503</v>
      </c>
      <c r="V104" s="266"/>
      <c r="W104" s="266"/>
      <c r="X104" s="266">
        <v>420</v>
      </c>
      <c r="Y104" s="266">
        <v>83</v>
      </c>
      <c r="Z104" s="266"/>
      <c r="AA104" s="266"/>
      <c r="AB104" s="266"/>
      <c r="AC104" s="266"/>
      <c r="AD104" s="266"/>
      <c r="AE104" s="266">
        <f t="shared" si="13"/>
        <v>33</v>
      </c>
      <c r="AF104" s="269">
        <v>1.56</v>
      </c>
      <c r="AG104" s="269">
        <v>2.4900000000000002</v>
      </c>
      <c r="AH104" s="281">
        <v>305</v>
      </c>
      <c r="AI104" s="281">
        <v>305</v>
      </c>
      <c r="AJ104" s="193" t="s">
        <v>92</v>
      </c>
      <c r="AK104" s="193">
        <v>2010</v>
      </c>
      <c r="AL104" s="193">
        <v>2018</v>
      </c>
      <c r="AM104" s="271">
        <v>39051</v>
      </c>
      <c r="AN104" s="271">
        <v>40543</v>
      </c>
      <c r="AO104" s="272">
        <v>40026</v>
      </c>
      <c r="AP104" s="272">
        <v>40296</v>
      </c>
      <c r="AQ104" s="272">
        <v>41386</v>
      </c>
      <c r="AR104" s="272">
        <v>41018</v>
      </c>
      <c r="AS104" s="272"/>
      <c r="AT104" s="272"/>
      <c r="AU104" s="272">
        <v>37620</v>
      </c>
      <c r="AV104" s="277" t="s">
        <v>70</v>
      </c>
      <c r="AW104" s="274" t="s">
        <v>70</v>
      </c>
      <c r="AX104" s="272"/>
      <c r="AY104" s="272">
        <v>37767</v>
      </c>
      <c r="AZ104" s="272">
        <v>41046</v>
      </c>
      <c r="BA104" s="272">
        <v>42250</v>
      </c>
      <c r="BB104" s="272">
        <v>42501</v>
      </c>
      <c r="BC104" s="272">
        <v>42524</v>
      </c>
      <c r="BD104" s="272">
        <v>43385</v>
      </c>
      <c r="BE104" s="272">
        <v>43493</v>
      </c>
      <c r="BF104" s="272">
        <v>44182</v>
      </c>
      <c r="BG104" s="323"/>
      <c r="BH104" s="285" t="s">
        <v>1524</v>
      </c>
    </row>
    <row r="105" spans="1:60" s="61" customFormat="1" ht="20.100000000000001" customHeight="1">
      <c r="A105" s="190">
        <v>100</v>
      </c>
      <c r="B105" s="193" t="s">
        <v>167</v>
      </c>
      <c r="C105" s="192" t="s">
        <v>137</v>
      </c>
      <c r="D105" s="192" t="s">
        <v>73</v>
      </c>
      <c r="E105" s="192" t="s">
        <v>263</v>
      </c>
      <c r="F105" s="192" t="s">
        <v>264</v>
      </c>
      <c r="G105" s="266">
        <v>41139</v>
      </c>
      <c r="H105" s="193">
        <v>1985</v>
      </c>
      <c r="I105" s="266">
        <v>3</v>
      </c>
      <c r="J105" s="266">
        <f t="shared" si="11"/>
        <v>544</v>
      </c>
      <c r="K105" s="266"/>
      <c r="L105" s="266"/>
      <c r="M105" s="266">
        <v>544</v>
      </c>
      <c r="N105" s="266"/>
      <c r="O105" s="266"/>
      <c r="P105" s="268">
        <f>SUM(Q105:S105)</f>
        <v>751</v>
      </c>
      <c r="Q105" s="268">
        <v>441</v>
      </c>
      <c r="R105" s="268">
        <v>310</v>
      </c>
      <c r="S105" s="268"/>
      <c r="T105" s="268">
        <f t="shared" si="12"/>
        <v>751</v>
      </c>
      <c r="U105" s="266">
        <f>SUM(V105:Z105)</f>
        <v>751</v>
      </c>
      <c r="V105" s="266"/>
      <c r="W105" s="266"/>
      <c r="X105" s="266">
        <v>751</v>
      </c>
      <c r="Y105" s="266"/>
      <c r="Z105" s="266"/>
      <c r="AA105" s="266"/>
      <c r="AB105" s="266"/>
      <c r="AC105" s="266"/>
      <c r="AD105" s="266"/>
      <c r="AE105" s="266">
        <f t="shared" si="13"/>
        <v>207</v>
      </c>
      <c r="AF105" s="269">
        <v>1.1399999999999999</v>
      </c>
      <c r="AG105" s="269">
        <v>2.44</v>
      </c>
      <c r="AH105" s="281">
        <v>547</v>
      </c>
      <c r="AI105" s="281">
        <v>443</v>
      </c>
      <c r="AJ105" s="193" t="s">
        <v>92</v>
      </c>
      <c r="AK105" s="193">
        <v>2007</v>
      </c>
      <c r="AL105" s="193">
        <v>2012</v>
      </c>
      <c r="AM105" s="271" t="s">
        <v>126</v>
      </c>
      <c r="AN105" s="271"/>
      <c r="AO105" s="271"/>
      <c r="AP105" s="272">
        <v>38733</v>
      </c>
      <c r="AQ105" s="272">
        <v>40473</v>
      </c>
      <c r="AR105" s="272"/>
      <c r="AS105" s="272"/>
      <c r="AT105" s="272"/>
      <c r="AU105" s="272"/>
      <c r="AV105" s="277" t="s">
        <v>70</v>
      </c>
      <c r="AW105" s="274" t="s">
        <v>70</v>
      </c>
      <c r="AX105" s="272"/>
      <c r="AY105" s="272">
        <v>37760</v>
      </c>
      <c r="AZ105" s="272">
        <v>39301</v>
      </c>
      <c r="BA105" s="272">
        <v>39538</v>
      </c>
      <c r="BB105" s="272">
        <v>40045</v>
      </c>
      <c r="BC105" s="272"/>
      <c r="BD105" s="272">
        <v>41257</v>
      </c>
      <c r="BE105" s="272">
        <v>41827</v>
      </c>
      <c r="BF105" s="272">
        <v>45154</v>
      </c>
      <c r="BG105" s="323"/>
      <c r="BH105" s="285" t="s">
        <v>1524</v>
      </c>
    </row>
    <row r="106" spans="1:60" s="61" customFormat="1" ht="20.100000000000001" customHeight="1">
      <c r="A106" s="190">
        <v>101</v>
      </c>
      <c r="B106" s="193" t="s">
        <v>167</v>
      </c>
      <c r="C106" s="192" t="s">
        <v>137</v>
      </c>
      <c r="D106" s="192" t="s">
        <v>73</v>
      </c>
      <c r="E106" s="192" t="s">
        <v>265</v>
      </c>
      <c r="F106" s="192" t="s">
        <v>266</v>
      </c>
      <c r="G106" s="266">
        <v>20124</v>
      </c>
      <c r="H106" s="193">
        <v>1985</v>
      </c>
      <c r="I106" s="266">
        <v>7</v>
      </c>
      <c r="J106" s="266">
        <f t="shared" si="11"/>
        <v>235</v>
      </c>
      <c r="K106" s="266"/>
      <c r="L106" s="266"/>
      <c r="M106" s="266">
        <v>235</v>
      </c>
      <c r="N106" s="266"/>
      <c r="O106" s="266"/>
      <c r="P106" s="268">
        <f>SUM(Q106:S106)</f>
        <v>356</v>
      </c>
      <c r="Q106" s="268">
        <v>181</v>
      </c>
      <c r="R106" s="268">
        <v>175</v>
      </c>
      <c r="S106" s="268"/>
      <c r="T106" s="268">
        <f t="shared" si="12"/>
        <v>356</v>
      </c>
      <c r="U106" s="266">
        <f>SUM(V106:Z106)</f>
        <v>356</v>
      </c>
      <c r="V106" s="266"/>
      <c r="W106" s="266"/>
      <c r="X106" s="266">
        <v>356</v>
      </c>
      <c r="Y106" s="266"/>
      <c r="Z106" s="266"/>
      <c r="AA106" s="266"/>
      <c r="AB106" s="266"/>
      <c r="AC106" s="266"/>
      <c r="AD106" s="266"/>
      <c r="AE106" s="266">
        <f t="shared" si="13"/>
        <v>121</v>
      </c>
      <c r="AF106" s="269">
        <v>1.1200000000000001</v>
      </c>
      <c r="AG106" s="269">
        <v>2.33</v>
      </c>
      <c r="AH106" s="281">
        <v>234</v>
      </c>
      <c r="AI106" s="281">
        <v>182</v>
      </c>
      <c r="AJ106" s="193" t="s">
        <v>92</v>
      </c>
      <c r="AK106" s="193">
        <v>2007</v>
      </c>
      <c r="AL106" s="193">
        <v>2012</v>
      </c>
      <c r="AM106" s="271" t="s">
        <v>126</v>
      </c>
      <c r="AN106" s="271"/>
      <c r="AO106" s="271"/>
      <c r="AP106" s="272">
        <v>38733</v>
      </c>
      <c r="AQ106" s="272">
        <v>40200</v>
      </c>
      <c r="AR106" s="272"/>
      <c r="AS106" s="272"/>
      <c r="AT106" s="272"/>
      <c r="AU106" s="272"/>
      <c r="AV106" s="277" t="s">
        <v>70</v>
      </c>
      <c r="AW106" s="274" t="s">
        <v>70</v>
      </c>
      <c r="AX106" s="272"/>
      <c r="AY106" s="272">
        <v>37792</v>
      </c>
      <c r="AZ106" s="272">
        <v>39258</v>
      </c>
      <c r="BA106" s="272">
        <v>39507</v>
      </c>
      <c r="BB106" s="272">
        <v>39885</v>
      </c>
      <c r="BC106" s="272"/>
      <c r="BD106" s="272">
        <v>41179</v>
      </c>
      <c r="BE106" s="272">
        <v>41134</v>
      </c>
      <c r="BF106" s="272">
        <v>44655</v>
      </c>
      <c r="BG106" s="323"/>
      <c r="BH106" s="285" t="s">
        <v>1524</v>
      </c>
    </row>
    <row r="107" spans="1:60" s="76" customFormat="1" ht="20.100000000000001" customHeight="1">
      <c r="A107" s="190">
        <v>102</v>
      </c>
      <c r="B107" s="193" t="s">
        <v>167</v>
      </c>
      <c r="C107" s="192" t="s">
        <v>69</v>
      </c>
      <c r="D107" s="192" t="s">
        <v>73</v>
      </c>
      <c r="E107" s="192" t="s">
        <v>267</v>
      </c>
      <c r="F107" s="192" t="s">
        <v>268</v>
      </c>
      <c r="G107" s="266">
        <v>21709.3</v>
      </c>
      <c r="H107" s="193">
        <v>1985</v>
      </c>
      <c r="I107" s="266">
        <v>95</v>
      </c>
      <c r="J107" s="266">
        <f t="shared" si="11"/>
        <v>638</v>
      </c>
      <c r="K107" s="266"/>
      <c r="L107" s="266"/>
      <c r="M107" s="266">
        <v>638</v>
      </c>
      <c r="N107" s="266"/>
      <c r="O107" s="266"/>
      <c r="P107" s="268">
        <f>SUM(Q107:S107)</f>
        <v>711</v>
      </c>
      <c r="Q107" s="268">
        <v>438</v>
      </c>
      <c r="R107" s="268">
        <f>711-Q107</f>
        <v>273</v>
      </c>
      <c r="S107" s="268"/>
      <c r="T107" s="268">
        <f t="shared" si="12"/>
        <v>711</v>
      </c>
      <c r="U107" s="266">
        <f>SUM(V107:Z107)</f>
        <v>711</v>
      </c>
      <c r="V107" s="266">
        <v>104</v>
      </c>
      <c r="W107" s="266">
        <f>220+36+217+88</f>
        <v>561</v>
      </c>
      <c r="X107" s="266">
        <v>46</v>
      </c>
      <c r="Y107" s="266"/>
      <c r="Z107" s="266"/>
      <c r="AA107" s="266"/>
      <c r="AB107" s="266"/>
      <c r="AC107" s="266"/>
      <c r="AD107" s="266"/>
      <c r="AE107" s="266">
        <f t="shared" si="13"/>
        <v>73</v>
      </c>
      <c r="AF107" s="269">
        <v>1.5</v>
      </c>
      <c r="AG107" s="269">
        <v>2.65</v>
      </c>
      <c r="AH107" s="281">
        <v>454</v>
      </c>
      <c r="AI107" s="281">
        <v>438</v>
      </c>
      <c r="AJ107" s="193" t="s">
        <v>92</v>
      </c>
      <c r="AK107" s="193">
        <v>2013</v>
      </c>
      <c r="AL107" s="193">
        <v>2021</v>
      </c>
      <c r="AM107" s="271">
        <v>40938</v>
      </c>
      <c r="AN107" s="271">
        <v>40908</v>
      </c>
      <c r="AO107" s="271">
        <v>41544</v>
      </c>
      <c r="AP107" s="272">
        <v>41544</v>
      </c>
      <c r="AQ107" s="272">
        <v>42219</v>
      </c>
      <c r="AR107" s="272">
        <v>41627</v>
      </c>
      <c r="AS107" s="275"/>
      <c r="AT107" s="275"/>
      <c r="AU107" s="275"/>
      <c r="AV107" s="277" t="s">
        <v>70</v>
      </c>
      <c r="AW107" s="274" t="s">
        <v>70</v>
      </c>
      <c r="AX107" s="275"/>
      <c r="AY107" s="272">
        <v>41845</v>
      </c>
      <c r="AZ107" s="272">
        <v>42529</v>
      </c>
      <c r="BA107" s="272">
        <v>42733</v>
      </c>
      <c r="BB107" s="272">
        <v>43319</v>
      </c>
      <c r="BC107" s="272">
        <v>43327</v>
      </c>
      <c r="BD107" s="275">
        <v>44244</v>
      </c>
      <c r="BE107" s="272">
        <v>44340</v>
      </c>
      <c r="BF107" s="272">
        <v>44609</v>
      </c>
      <c r="BG107" s="323">
        <v>45664</v>
      </c>
      <c r="BH107" s="285" t="s">
        <v>1524</v>
      </c>
    </row>
    <row r="108" spans="1:60" s="184" customFormat="1" ht="19.5" customHeight="1">
      <c r="A108" s="190">
        <v>103</v>
      </c>
      <c r="B108" s="193" t="s">
        <v>269</v>
      </c>
      <c r="C108" s="192" t="s">
        <v>72</v>
      </c>
      <c r="D108" s="192" t="s">
        <v>85</v>
      </c>
      <c r="E108" s="192" t="s">
        <v>270</v>
      </c>
      <c r="F108" s="192" t="s">
        <v>271</v>
      </c>
      <c r="G108" s="266">
        <v>16000</v>
      </c>
      <c r="H108" s="193">
        <v>1986</v>
      </c>
      <c r="I108" s="266">
        <v>34</v>
      </c>
      <c r="J108" s="266">
        <f t="shared" ref="J108:J110" si="16">SUM(K108:O108)</f>
        <v>145</v>
      </c>
      <c r="K108" s="266">
        <v>145</v>
      </c>
      <c r="L108" s="266"/>
      <c r="M108" s="266"/>
      <c r="N108" s="266"/>
      <c r="O108" s="266"/>
      <c r="P108" s="268"/>
      <c r="Q108" s="268"/>
      <c r="R108" s="268"/>
      <c r="S108" s="268"/>
      <c r="T108" s="268">
        <f t="shared" si="12"/>
        <v>0</v>
      </c>
      <c r="U108" s="266"/>
      <c r="V108" s="266"/>
      <c r="W108" s="266"/>
      <c r="X108" s="266"/>
      <c r="Y108" s="266"/>
      <c r="Z108" s="266"/>
      <c r="AA108" s="266"/>
      <c r="AB108" s="266"/>
      <c r="AC108" s="266"/>
      <c r="AD108" s="266"/>
      <c r="AE108" s="266">
        <f t="shared" si="13"/>
        <v>-145</v>
      </c>
      <c r="AF108" s="269">
        <v>2.4</v>
      </c>
      <c r="AG108" s="269" t="s">
        <v>272</v>
      </c>
      <c r="AH108" s="270">
        <v>145</v>
      </c>
      <c r="AI108" s="270"/>
      <c r="AJ108" s="193"/>
      <c r="AK108" s="193"/>
      <c r="AL108" s="193"/>
      <c r="AM108" s="271">
        <v>39104</v>
      </c>
      <c r="AN108" s="271">
        <v>42369</v>
      </c>
      <c r="AO108" s="272"/>
      <c r="AP108" s="272"/>
      <c r="AQ108" s="272"/>
      <c r="AR108" s="272"/>
      <c r="AS108" s="272"/>
      <c r="AT108" s="272"/>
      <c r="AU108" s="272"/>
      <c r="AV108" s="277" t="s">
        <v>70</v>
      </c>
      <c r="AW108" s="308" t="s">
        <v>70</v>
      </c>
      <c r="AX108" s="272"/>
      <c r="AY108" s="272"/>
      <c r="AZ108" s="272"/>
      <c r="BA108" s="272"/>
      <c r="BB108" s="272"/>
      <c r="BC108" s="272"/>
      <c r="BD108" s="272"/>
      <c r="BE108" s="272"/>
      <c r="BF108" s="272"/>
      <c r="BG108" s="323"/>
      <c r="BH108" s="285" t="s">
        <v>1535</v>
      </c>
    </row>
    <row r="109" spans="1:60" s="184" customFormat="1" ht="20.100000000000001" customHeight="1">
      <c r="A109" s="190">
        <v>104</v>
      </c>
      <c r="B109" s="193" t="s">
        <v>269</v>
      </c>
      <c r="C109" s="192" t="s">
        <v>72</v>
      </c>
      <c r="D109" s="192" t="s">
        <v>85</v>
      </c>
      <c r="E109" s="192" t="s">
        <v>273</v>
      </c>
      <c r="F109" s="192" t="s">
        <v>274</v>
      </c>
      <c r="G109" s="266">
        <v>16000</v>
      </c>
      <c r="H109" s="193">
        <v>1986</v>
      </c>
      <c r="I109" s="266">
        <v>32</v>
      </c>
      <c r="J109" s="266">
        <f t="shared" si="16"/>
        <v>53</v>
      </c>
      <c r="K109" s="266">
        <v>53</v>
      </c>
      <c r="L109" s="266"/>
      <c r="M109" s="266"/>
      <c r="N109" s="266"/>
      <c r="O109" s="266"/>
      <c r="P109" s="268"/>
      <c r="Q109" s="268"/>
      <c r="R109" s="268"/>
      <c r="S109" s="268"/>
      <c r="T109" s="268">
        <f t="shared" si="12"/>
        <v>0</v>
      </c>
      <c r="U109" s="266"/>
      <c r="V109" s="266"/>
      <c r="W109" s="266"/>
      <c r="X109" s="266"/>
      <c r="Y109" s="266"/>
      <c r="Z109" s="266"/>
      <c r="AA109" s="266"/>
      <c r="AB109" s="266"/>
      <c r="AC109" s="266"/>
      <c r="AD109" s="266"/>
      <c r="AE109" s="266">
        <f t="shared" si="13"/>
        <v>-53</v>
      </c>
      <c r="AF109" s="269">
        <v>2.4</v>
      </c>
      <c r="AG109" s="269" t="s">
        <v>272</v>
      </c>
      <c r="AH109" s="270">
        <v>53</v>
      </c>
      <c r="AI109" s="270"/>
      <c r="AJ109" s="193"/>
      <c r="AK109" s="193"/>
      <c r="AL109" s="193"/>
      <c r="AM109" s="271">
        <v>39104</v>
      </c>
      <c r="AN109" s="271">
        <v>42369</v>
      </c>
      <c r="AO109" s="272"/>
      <c r="AP109" s="272"/>
      <c r="AQ109" s="272"/>
      <c r="AR109" s="272"/>
      <c r="AS109" s="272"/>
      <c r="AT109" s="272"/>
      <c r="AU109" s="272"/>
      <c r="AV109" s="277" t="s">
        <v>70</v>
      </c>
      <c r="AW109" s="308" t="s">
        <v>70</v>
      </c>
      <c r="AX109" s="272"/>
      <c r="AY109" s="272"/>
      <c r="AZ109" s="272"/>
      <c r="BA109" s="272"/>
      <c r="BB109" s="272"/>
      <c r="BC109" s="272"/>
      <c r="BD109" s="272"/>
      <c r="BE109" s="272"/>
      <c r="BF109" s="272"/>
      <c r="BG109" s="323"/>
      <c r="BH109" s="285" t="s">
        <v>1535</v>
      </c>
    </row>
    <row r="110" spans="1:60" s="81" customFormat="1" ht="20.100000000000001" customHeight="1">
      <c r="A110" s="190">
        <v>105</v>
      </c>
      <c r="B110" s="193" t="s">
        <v>269</v>
      </c>
      <c r="C110" s="192" t="s">
        <v>72</v>
      </c>
      <c r="D110" s="192" t="s">
        <v>85</v>
      </c>
      <c r="E110" s="192" t="s">
        <v>275</v>
      </c>
      <c r="F110" s="192" t="s">
        <v>276</v>
      </c>
      <c r="G110" s="266">
        <v>40489</v>
      </c>
      <c r="H110" s="193">
        <v>1986</v>
      </c>
      <c r="I110" s="266">
        <v>119</v>
      </c>
      <c r="J110" s="266">
        <f t="shared" si="16"/>
        <v>562</v>
      </c>
      <c r="K110" s="266">
        <v>562</v>
      </c>
      <c r="L110" s="266"/>
      <c r="M110" s="266"/>
      <c r="N110" s="266"/>
      <c r="O110" s="266"/>
      <c r="P110" s="268"/>
      <c r="Q110" s="268"/>
      <c r="R110" s="268"/>
      <c r="S110" s="268"/>
      <c r="T110" s="268">
        <f t="shared" si="12"/>
        <v>0</v>
      </c>
      <c r="U110" s="266"/>
      <c r="V110" s="266"/>
      <c r="W110" s="266"/>
      <c r="X110" s="266"/>
      <c r="Y110" s="266"/>
      <c r="Z110" s="266"/>
      <c r="AA110" s="266"/>
      <c r="AB110" s="266"/>
      <c r="AC110" s="266"/>
      <c r="AD110" s="266"/>
      <c r="AE110" s="266">
        <f t="shared" si="13"/>
        <v>-562</v>
      </c>
      <c r="AF110" s="269">
        <v>2.4</v>
      </c>
      <c r="AG110" s="269" t="s">
        <v>277</v>
      </c>
      <c r="AH110" s="270">
        <v>562</v>
      </c>
      <c r="AI110" s="270"/>
      <c r="AJ110" s="193"/>
      <c r="AK110" s="193"/>
      <c r="AL110" s="193"/>
      <c r="AM110" s="271">
        <v>39104</v>
      </c>
      <c r="AN110" s="271">
        <v>42369</v>
      </c>
      <c r="AO110" s="272"/>
      <c r="AP110" s="272"/>
      <c r="AQ110" s="272"/>
      <c r="AR110" s="272"/>
      <c r="AS110" s="272"/>
      <c r="AT110" s="272"/>
      <c r="AU110" s="272"/>
      <c r="AV110" s="277" t="s">
        <v>70</v>
      </c>
      <c r="AW110" s="308" t="s">
        <v>70</v>
      </c>
      <c r="AX110" s="272"/>
      <c r="AY110" s="272"/>
      <c r="AZ110" s="272"/>
      <c r="BA110" s="272"/>
      <c r="BB110" s="272"/>
      <c r="BC110" s="272"/>
      <c r="BD110" s="272"/>
      <c r="BE110" s="272"/>
      <c r="BF110" s="272"/>
      <c r="BG110" s="323"/>
      <c r="BH110" s="285" t="s">
        <v>1535</v>
      </c>
    </row>
    <row r="111" spans="1:60" s="81" customFormat="1" ht="20.100000000000001" customHeight="1">
      <c r="A111" s="190">
        <v>106</v>
      </c>
      <c r="B111" s="193" t="s">
        <v>269</v>
      </c>
      <c r="C111" s="192" t="s">
        <v>72</v>
      </c>
      <c r="D111" s="192" t="s">
        <v>112</v>
      </c>
      <c r="E111" s="192" t="s">
        <v>278</v>
      </c>
      <c r="F111" s="192" t="s">
        <v>279</v>
      </c>
      <c r="G111" s="266">
        <v>46700</v>
      </c>
      <c r="H111" s="193"/>
      <c r="I111" s="266"/>
      <c r="J111" s="266"/>
      <c r="K111" s="266"/>
      <c r="L111" s="266"/>
      <c r="M111" s="266"/>
      <c r="N111" s="266"/>
      <c r="O111" s="266"/>
      <c r="P111" s="268"/>
      <c r="Q111" s="268"/>
      <c r="R111" s="268"/>
      <c r="S111" s="268"/>
      <c r="T111" s="268">
        <f t="shared" si="12"/>
        <v>0</v>
      </c>
      <c r="U111" s="266"/>
      <c r="V111" s="266"/>
      <c r="W111" s="266"/>
      <c r="X111" s="266"/>
      <c r="Y111" s="266"/>
      <c r="Z111" s="266"/>
      <c r="AA111" s="266"/>
      <c r="AB111" s="266"/>
      <c r="AC111" s="266"/>
      <c r="AD111" s="266"/>
      <c r="AE111" s="266">
        <f t="shared" si="13"/>
        <v>0</v>
      </c>
      <c r="AF111" s="269">
        <v>2.2999999999999998</v>
      </c>
      <c r="AG111" s="269"/>
      <c r="AH111" s="270"/>
      <c r="AI111" s="270"/>
      <c r="AJ111" s="193"/>
      <c r="AK111" s="193"/>
      <c r="AL111" s="193"/>
      <c r="AM111" s="271">
        <v>44270</v>
      </c>
      <c r="AN111" s="271">
        <v>45657</v>
      </c>
      <c r="AO111" s="272"/>
      <c r="AP111" s="272"/>
      <c r="AQ111" s="272"/>
      <c r="AR111" s="272"/>
      <c r="AS111" s="272"/>
      <c r="AT111" s="272"/>
      <c r="AU111" s="272"/>
      <c r="AV111" s="277" t="s">
        <v>70</v>
      </c>
      <c r="AW111" s="308" t="s">
        <v>70</v>
      </c>
      <c r="AX111" s="272"/>
      <c r="AY111" s="272"/>
      <c r="AZ111" s="272"/>
      <c r="BA111" s="272"/>
      <c r="BB111" s="272"/>
      <c r="BC111" s="272"/>
      <c r="BD111" s="272"/>
      <c r="BE111" s="272"/>
      <c r="BF111" s="272"/>
      <c r="BG111" s="323"/>
      <c r="BH111" s="285" t="s">
        <v>1536</v>
      </c>
    </row>
    <row r="112" spans="1:60" s="81" customFormat="1" ht="20.100000000000001" customHeight="1">
      <c r="A112" s="190">
        <v>107</v>
      </c>
      <c r="B112" s="193" t="s">
        <v>269</v>
      </c>
      <c r="C112" s="192" t="s">
        <v>72</v>
      </c>
      <c r="D112" s="192" t="s">
        <v>112</v>
      </c>
      <c r="E112" s="192" t="s">
        <v>280</v>
      </c>
      <c r="F112" s="192" t="s">
        <v>281</v>
      </c>
      <c r="G112" s="266">
        <v>25400</v>
      </c>
      <c r="H112" s="193"/>
      <c r="I112" s="266"/>
      <c r="J112" s="266"/>
      <c r="K112" s="266"/>
      <c r="L112" s="266"/>
      <c r="M112" s="266"/>
      <c r="N112" s="266"/>
      <c r="O112" s="266"/>
      <c r="P112" s="268"/>
      <c r="Q112" s="268"/>
      <c r="R112" s="268"/>
      <c r="S112" s="268"/>
      <c r="T112" s="268">
        <f t="shared" si="12"/>
        <v>0</v>
      </c>
      <c r="U112" s="266"/>
      <c r="V112" s="266"/>
      <c r="W112" s="266"/>
      <c r="X112" s="266"/>
      <c r="Y112" s="266"/>
      <c r="Z112" s="266"/>
      <c r="AA112" s="266"/>
      <c r="AB112" s="266"/>
      <c r="AC112" s="266"/>
      <c r="AD112" s="266"/>
      <c r="AE112" s="266">
        <f t="shared" si="13"/>
        <v>0</v>
      </c>
      <c r="AF112" s="269">
        <v>2.2999999999999998</v>
      </c>
      <c r="AG112" s="269"/>
      <c r="AH112" s="270"/>
      <c r="AI112" s="270"/>
      <c r="AJ112" s="193"/>
      <c r="AK112" s="193"/>
      <c r="AL112" s="193"/>
      <c r="AM112" s="271">
        <v>44270</v>
      </c>
      <c r="AN112" s="271">
        <v>46022</v>
      </c>
      <c r="AO112" s="272"/>
      <c r="AP112" s="272"/>
      <c r="AQ112" s="272"/>
      <c r="AR112" s="272"/>
      <c r="AS112" s="272"/>
      <c r="AT112" s="272"/>
      <c r="AU112" s="272"/>
      <c r="AV112" s="277" t="s">
        <v>70</v>
      </c>
      <c r="AW112" s="308" t="s">
        <v>70</v>
      </c>
      <c r="AX112" s="272"/>
      <c r="AY112" s="272"/>
      <c r="AZ112" s="272"/>
      <c r="BA112" s="272"/>
      <c r="BB112" s="272"/>
      <c r="BC112" s="272"/>
      <c r="BD112" s="272"/>
      <c r="BE112" s="272"/>
      <c r="BF112" s="272"/>
      <c r="BG112" s="323"/>
      <c r="BH112" s="285" t="s">
        <v>1536</v>
      </c>
    </row>
    <row r="113" spans="1:60" s="81" customFormat="1" ht="20.100000000000001" customHeight="1">
      <c r="A113" s="190">
        <v>108</v>
      </c>
      <c r="B113" s="193" t="s">
        <v>269</v>
      </c>
      <c r="C113" s="192" t="s">
        <v>72</v>
      </c>
      <c r="D113" s="192" t="s">
        <v>112</v>
      </c>
      <c r="E113" s="192" t="s">
        <v>282</v>
      </c>
      <c r="F113" s="192" t="s">
        <v>283</v>
      </c>
      <c r="G113" s="266">
        <v>40900</v>
      </c>
      <c r="H113" s="193"/>
      <c r="I113" s="266"/>
      <c r="J113" s="266"/>
      <c r="K113" s="266"/>
      <c r="L113" s="266"/>
      <c r="M113" s="266"/>
      <c r="N113" s="266"/>
      <c r="O113" s="266"/>
      <c r="P113" s="268"/>
      <c r="Q113" s="268"/>
      <c r="R113" s="268"/>
      <c r="S113" s="268"/>
      <c r="T113" s="268">
        <f t="shared" si="12"/>
        <v>0</v>
      </c>
      <c r="U113" s="266"/>
      <c r="V113" s="266"/>
      <c r="W113" s="266"/>
      <c r="X113" s="266"/>
      <c r="Y113" s="266"/>
      <c r="Z113" s="266"/>
      <c r="AA113" s="266"/>
      <c r="AB113" s="266"/>
      <c r="AC113" s="266"/>
      <c r="AD113" s="266"/>
      <c r="AE113" s="266">
        <f t="shared" si="13"/>
        <v>0</v>
      </c>
      <c r="AF113" s="269">
        <v>2.2999999999999998</v>
      </c>
      <c r="AG113" s="269"/>
      <c r="AH113" s="270"/>
      <c r="AI113" s="270"/>
      <c r="AJ113" s="193"/>
      <c r="AK113" s="193"/>
      <c r="AL113" s="193"/>
      <c r="AM113" s="271">
        <v>44270</v>
      </c>
      <c r="AN113" s="271">
        <v>46022</v>
      </c>
      <c r="AO113" s="272"/>
      <c r="AP113" s="272"/>
      <c r="AQ113" s="272"/>
      <c r="AR113" s="272"/>
      <c r="AS113" s="272"/>
      <c r="AT113" s="272"/>
      <c r="AU113" s="272"/>
      <c r="AV113" s="277" t="s">
        <v>70</v>
      </c>
      <c r="AW113" s="308" t="s">
        <v>70</v>
      </c>
      <c r="AX113" s="272"/>
      <c r="AY113" s="272"/>
      <c r="AZ113" s="272"/>
      <c r="BA113" s="272"/>
      <c r="BB113" s="272"/>
      <c r="BC113" s="272"/>
      <c r="BD113" s="272"/>
      <c r="BE113" s="272"/>
      <c r="BF113" s="272"/>
      <c r="BG113" s="323"/>
      <c r="BH113" s="285" t="s">
        <v>1536</v>
      </c>
    </row>
    <row r="114" spans="1:60" s="81" customFormat="1" ht="20.100000000000001" customHeight="1">
      <c r="A114" s="190">
        <v>109</v>
      </c>
      <c r="B114" s="193" t="s">
        <v>269</v>
      </c>
      <c r="C114" s="192" t="s">
        <v>72</v>
      </c>
      <c r="D114" s="192" t="s">
        <v>112</v>
      </c>
      <c r="E114" s="192" t="s">
        <v>284</v>
      </c>
      <c r="F114" s="192" t="s">
        <v>285</v>
      </c>
      <c r="G114" s="266">
        <v>20100</v>
      </c>
      <c r="H114" s="193"/>
      <c r="I114" s="266"/>
      <c r="J114" s="266"/>
      <c r="K114" s="266"/>
      <c r="L114" s="266"/>
      <c r="M114" s="266"/>
      <c r="N114" s="266"/>
      <c r="O114" s="266"/>
      <c r="P114" s="268"/>
      <c r="Q114" s="268"/>
      <c r="R114" s="268"/>
      <c r="S114" s="268"/>
      <c r="T114" s="268">
        <f t="shared" si="12"/>
        <v>0</v>
      </c>
      <c r="U114" s="266"/>
      <c r="V114" s="266"/>
      <c r="W114" s="266"/>
      <c r="X114" s="266"/>
      <c r="Y114" s="266"/>
      <c r="Z114" s="266"/>
      <c r="AA114" s="266"/>
      <c r="AB114" s="266"/>
      <c r="AC114" s="266"/>
      <c r="AD114" s="266"/>
      <c r="AE114" s="266">
        <f t="shared" si="13"/>
        <v>0</v>
      </c>
      <c r="AF114" s="269">
        <v>2.4</v>
      </c>
      <c r="AG114" s="269"/>
      <c r="AH114" s="270"/>
      <c r="AI114" s="270"/>
      <c r="AJ114" s="193"/>
      <c r="AK114" s="193"/>
      <c r="AL114" s="193"/>
      <c r="AM114" s="271">
        <v>44270</v>
      </c>
      <c r="AN114" s="271">
        <v>46022</v>
      </c>
      <c r="AO114" s="272"/>
      <c r="AP114" s="272"/>
      <c r="AQ114" s="272"/>
      <c r="AR114" s="272"/>
      <c r="AS114" s="272"/>
      <c r="AT114" s="272"/>
      <c r="AU114" s="272"/>
      <c r="AV114" s="277" t="s">
        <v>70</v>
      </c>
      <c r="AW114" s="308" t="s">
        <v>70</v>
      </c>
      <c r="AX114" s="272"/>
      <c r="AY114" s="272"/>
      <c r="AZ114" s="272"/>
      <c r="BA114" s="272"/>
      <c r="BB114" s="272"/>
      <c r="BC114" s="272"/>
      <c r="BD114" s="272"/>
      <c r="BE114" s="272"/>
      <c r="BF114" s="272"/>
      <c r="BG114" s="323"/>
      <c r="BH114" s="285" t="s">
        <v>1536</v>
      </c>
    </row>
    <row r="115" spans="1:60" s="81" customFormat="1" ht="20.100000000000001" customHeight="1">
      <c r="A115" s="190">
        <v>110</v>
      </c>
      <c r="B115" s="193" t="s">
        <v>269</v>
      </c>
      <c r="C115" s="192" t="s">
        <v>88</v>
      </c>
      <c r="D115" s="192" t="s">
        <v>73</v>
      </c>
      <c r="E115" s="192" t="s">
        <v>326</v>
      </c>
      <c r="F115" s="192" t="s">
        <v>327</v>
      </c>
      <c r="G115" s="266">
        <v>10230</v>
      </c>
      <c r="H115" s="193">
        <v>1985</v>
      </c>
      <c r="I115" s="266">
        <v>4</v>
      </c>
      <c r="J115" s="266">
        <v>91</v>
      </c>
      <c r="K115" s="266"/>
      <c r="L115" s="266"/>
      <c r="M115" s="266"/>
      <c r="N115" s="266"/>
      <c r="O115" s="266"/>
      <c r="P115" s="268"/>
      <c r="Q115" s="268"/>
      <c r="R115" s="268"/>
      <c r="S115" s="268"/>
      <c r="T115" s="268">
        <f t="shared" si="12"/>
        <v>0</v>
      </c>
      <c r="U115" s="266"/>
      <c r="V115" s="266"/>
      <c r="W115" s="266"/>
      <c r="X115" s="266"/>
      <c r="Y115" s="266"/>
      <c r="Z115" s="266"/>
      <c r="AA115" s="266"/>
      <c r="AB115" s="266"/>
      <c r="AC115" s="266"/>
      <c r="AD115" s="266"/>
      <c r="AE115" s="266">
        <f t="shared" si="13"/>
        <v>-91</v>
      </c>
      <c r="AF115" s="269">
        <v>0.57999999999999996</v>
      </c>
      <c r="AG115" s="269">
        <v>2</v>
      </c>
      <c r="AH115" s="270"/>
      <c r="AI115" s="270"/>
      <c r="AJ115" s="193"/>
      <c r="AK115" s="193"/>
      <c r="AL115" s="193"/>
      <c r="AM115" s="271">
        <v>44270</v>
      </c>
      <c r="AN115" s="271">
        <v>45838</v>
      </c>
      <c r="AO115" s="275" t="s">
        <v>328</v>
      </c>
      <c r="AP115" s="272"/>
      <c r="AQ115" s="272"/>
      <c r="AR115" s="272"/>
      <c r="AS115" s="272">
        <v>44338</v>
      </c>
      <c r="AT115" s="272"/>
      <c r="AU115" s="272">
        <v>44629</v>
      </c>
      <c r="AV115" s="277" t="s">
        <v>79</v>
      </c>
      <c r="AW115" s="308" t="s">
        <v>70</v>
      </c>
      <c r="AX115" s="272"/>
      <c r="AY115" s="272"/>
      <c r="AZ115" s="272"/>
      <c r="BA115" s="272"/>
      <c r="BB115" s="272"/>
      <c r="BC115" s="272"/>
      <c r="BD115" s="272"/>
      <c r="BE115" s="272"/>
      <c r="BF115" s="272"/>
      <c r="BG115" s="323"/>
      <c r="BH115" s="285" t="s">
        <v>1535</v>
      </c>
    </row>
    <row r="116" spans="1:60" s="81" customFormat="1" ht="20.100000000000001" customHeight="1">
      <c r="A116" s="190">
        <v>111</v>
      </c>
      <c r="B116" s="193" t="s">
        <v>269</v>
      </c>
      <c r="C116" s="192" t="s">
        <v>72</v>
      </c>
      <c r="D116" s="192" t="s">
        <v>73</v>
      </c>
      <c r="E116" s="192" t="s">
        <v>286</v>
      </c>
      <c r="F116" s="192" t="s">
        <v>287</v>
      </c>
      <c r="G116" s="266">
        <v>8403</v>
      </c>
      <c r="H116" s="193">
        <v>1993</v>
      </c>
      <c r="I116" s="266">
        <v>2</v>
      </c>
      <c r="J116" s="266">
        <v>290</v>
      </c>
      <c r="K116" s="266"/>
      <c r="L116" s="266"/>
      <c r="M116" s="266"/>
      <c r="N116" s="266"/>
      <c r="O116" s="266"/>
      <c r="P116" s="268"/>
      <c r="Q116" s="268"/>
      <c r="R116" s="268"/>
      <c r="S116" s="268"/>
      <c r="T116" s="268">
        <f t="shared" si="12"/>
        <v>0</v>
      </c>
      <c r="U116" s="266"/>
      <c r="V116" s="266"/>
      <c r="W116" s="266"/>
      <c r="X116" s="266"/>
      <c r="Y116" s="266"/>
      <c r="Z116" s="266"/>
      <c r="AA116" s="266"/>
      <c r="AB116" s="266"/>
      <c r="AC116" s="266"/>
      <c r="AD116" s="266"/>
      <c r="AE116" s="266">
        <f t="shared" si="13"/>
        <v>-290</v>
      </c>
      <c r="AF116" s="269">
        <v>2.5</v>
      </c>
      <c r="AG116" s="269">
        <v>2.5</v>
      </c>
      <c r="AH116" s="270"/>
      <c r="AI116" s="270"/>
      <c r="AJ116" s="193"/>
      <c r="AK116" s="193"/>
      <c r="AL116" s="193"/>
      <c r="AM116" s="271">
        <v>44270</v>
      </c>
      <c r="AN116" s="271">
        <v>45291</v>
      </c>
      <c r="AO116" s="272"/>
      <c r="AP116" s="272"/>
      <c r="AQ116" s="272"/>
      <c r="AR116" s="272"/>
      <c r="AS116" s="272"/>
      <c r="AT116" s="272"/>
      <c r="AU116" s="272"/>
      <c r="AV116" s="277" t="s">
        <v>70</v>
      </c>
      <c r="AW116" s="308" t="s">
        <v>70</v>
      </c>
      <c r="AX116" s="272"/>
      <c r="AY116" s="272"/>
      <c r="AZ116" s="272"/>
      <c r="BA116" s="272"/>
      <c r="BB116" s="272"/>
      <c r="BC116" s="272"/>
      <c r="BD116" s="272"/>
      <c r="BE116" s="272"/>
      <c r="BF116" s="272"/>
      <c r="BG116" s="323"/>
      <c r="BH116" s="285" t="s">
        <v>1535</v>
      </c>
    </row>
    <row r="117" spans="1:60" s="81" customFormat="1" ht="20.100000000000001" customHeight="1">
      <c r="A117" s="190">
        <v>112</v>
      </c>
      <c r="B117" s="193" t="s">
        <v>269</v>
      </c>
      <c r="C117" s="192" t="s">
        <v>72</v>
      </c>
      <c r="D117" s="192" t="s">
        <v>73</v>
      </c>
      <c r="E117" s="192" t="s">
        <v>288</v>
      </c>
      <c r="F117" s="192" t="s">
        <v>289</v>
      </c>
      <c r="G117" s="266">
        <v>6718</v>
      </c>
      <c r="H117" s="193">
        <v>1993</v>
      </c>
      <c r="I117" s="266">
        <v>1</v>
      </c>
      <c r="J117" s="266">
        <v>202</v>
      </c>
      <c r="K117" s="266"/>
      <c r="L117" s="266"/>
      <c r="M117" s="266"/>
      <c r="N117" s="266"/>
      <c r="O117" s="266"/>
      <c r="P117" s="268"/>
      <c r="Q117" s="268"/>
      <c r="R117" s="268"/>
      <c r="S117" s="268"/>
      <c r="T117" s="268">
        <f t="shared" si="12"/>
        <v>0</v>
      </c>
      <c r="U117" s="266"/>
      <c r="V117" s="266"/>
      <c r="W117" s="266"/>
      <c r="X117" s="266"/>
      <c r="Y117" s="266"/>
      <c r="Z117" s="266"/>
      <c r="AA117" s="266"/>
      <c r="AB117" s="266"/>
      <c r="AC117" s="266"/>
      <c r="AD117" s="266"/>
      <c r="AE117" s="266">
        <f t="shared" si="13"/>
        <v>-202</v>
      </c>
      <c r="AF117" s="269">
        <v>2.5</v>
      </c>
      <c r="AG117" s="269">
        <v>2.5</v>
      </c>
      <c r="AH117" s="270"/>
      <c r="AI117" s="270"/>
      <c r="AJ117" s="193"/>
      <c r="AK117" s="193"/>
      <c r="AL117" s="193"/>
      <c r="AM117" s="271">
        <v>44270</v>
      </c>
      <c r="AN117" s="271">
        <v>45291</v>
      </c>
      <c r="AO117" s="272"/>
      <c r="AP117" s="272"/>
      <c r="AQ117" s="272"/>
      <c r="AR117" s="272"/>
      <c r="AS117" s="272"/>
      <c r="AT117" s="272"/>
      <c r="AU117" s="272"/>
      <c r="AV117" s="277" t="s">
        <v>70</v>
      </c>
      <c r="AW117" s="308" t="s">
        <v>70</v>
      </c>
      <c r="AX117" s="272"/>
      <c r="AY117" s="272"/>
      <c r="AZ117" s="272"/>
      <c r="BA117" s="272"/>
      <c r="BB117" s="272"/>
      <c r="BC117" s="272"/>
      <c r="BD117" s="272"/>
      <c r="BE117" s="272"/>
      <c r="BF117" s="272"/>
      <c r="BG117" s="323"/>
      <c r="BH117" s="285" t="s">
        <v>1535</v>
      </c>
    </row>
    <row r="118" spans="1:60" s="81" customFormat="1" ht="20.100000000000001" customHeight="1">
      <c r="A118" s="190">
        <v>113</v>
      </c>
      <c r="B118" s="193" t="s">
        <v>269</v>
      </c>
      <c r="C118" s="192" t="s">
        <v>72</v>
      </c>
      <c r="D118" s="192" t="s">
        <v>73</v>
      </c>
      <c r="E118" s="192" t="s">
        <v>290</v>
      </c>
      <c r="F118" s="192" t="s">
        <v>291</v>
      </c>
      <c r="G118" s="266">
        <v>9928</v>
      </c>
      <c r="H118" s="193">
        <v>1994</v>
      </c>
      <c r="I118" s="266">
        <v>4</v>
      </c>
      <c r="J118" s="266">
        <v>375</v>
      </c>
      <c r="K118" s="266"/>
      <c r="L118" s="266"/>
      <c r="M118" s="266"/>
      <c r="N118" s="266"/>
      <c r="O118" s="266"/>
      <c r="P118" s="268"/>
      <c r="Q118" s="268"/>
      <c r="R118" s="268"/>
      <c r="S118" s="268"/>
      <c r="T118" s="268">
        <f t="shared" si="12"/>
        <v>0</v>
      </c>
      <c r="U118" s="266"/>
      <c r="V118" s="266"/>
      <c r="W118" s="266"/>
      <c r="X118" s="266"/>
      <c r="Y118" s="266"/>
      <c r="Z118" s="266"/>
      <c r="AA118" s="266"/>
      <c r="AB118" s="266"/>
      <c r="AC118" s="266"/>
      <c r="AD118" s="266"/>
      <c r="AE118" s="266">
        <f t="shared" si="13"/>
        <v>-375</v>
      </c>
      <c r="AF118" s="269">
        <v>2.71</v>
      </c>
      <c r="AG118" s="269">
        <v>2.9</v>
      </c>
      <c r="AH118" s="270"/>
      <c r="AI118" s="270"/>
      <c r="AJ118" s="193"/>
      <c r="AK118" s="193"/>
      <c r="AL118" s="193"/>
      <c r="AM118" s="271">
        <v>44270</v>
      </c>
      <c r="AN118" s="271">
        <v>45657</v>
      </c>
      <c r="AO118" s="272"/>
      <c r="AP118" s="272"/>
      <c r="AQ118" s="272"/>
      <c r="AR118" s="272"/>
      <c r="AS118" s="272"/>
      <c r="AT118" s="272"/>
      <c r="AU118" s="272"/>
      <c r="AV118" s="277" t="s">
        <v>70</v>
      </c>
      <c r="AW118" s="308" t="s">
        <v>70</v>
      </c>
      <c r="AX118" s="272"/>
      <c r="AY118" s="272"/>
      <c r="AZ118" s="272"/>
      <c r="BA118" s="272"/>
      <c r="BB118" s="272"/>
      <c r="BC118" s="272"/>
      <c r="BD118" s="272"/>
      <c r="BE118" s="272"/>
      <c r="BF118" s="272"/>
      <c r="BG118" s="323"/>
      <c r="BH118" s="285" t="s">
        <v>1535</v>
      </c>
    </row>
    <row r="119" spans="1:60" s="81" customFormat="1" ht="20.100000000000001" customHeight="1">
      <c r="A119" s="190">
        <v>114</v>
      </c>
      <c r="B119" s="193" t="s">
        <v>269</v>
      </c>
      <c r="C119" s="192" t="s">
        <v>72</v>
      </c>
      <c r="D119" s="192" t="s">
        <v>73</v>
      </c>
      <c r="E119" s="192" t="s">
        <v>292</v>
      </c>
      <c r="F119" s="192" t="s">
        <v>293</v>
      </c>
      <c r="G119" s="266">
        <v>9999</v>
      </c>
      <c r="H119" s="193">
        <v>1995</v>
      </c>
      <c r="I119" s="266">
        <v>3</v>
      </c>
      <c r="J119" s="266">
        <v>330</v>
      </c>
      <c r="K119" s="266"/>
      <c r="L119" s="266"/>
      <c r="M119" s="266"/>
      <c r="N119" s="266"/>
      <c r="O119" s="266"/>
      <c r="P119" s="268"/>
      <c r="Q119" s="268"/>
      <c r="R119" s="268"/>
      <c r="S119" s="268"/>
      <c r="T119" s="268">
        <f t="shared" si="12"/>
        <v>0</v>
      </c>
      <c r="U119" s="266"/>
      <c r="V119" s="266"/>
      <c r="W119" s="266"/>
      <c r="X119" s="266"/>
      <c r="Y119" s="266"/>
      <c r="Z119" s="266"/>
      <c r="AA119" s="266"/>
      <c r="AB119" s="266"/>
      <c r="AC119" s="266"/>
      <c r="AD119" s="266"/>
      <c r="AE119" s="266">
        <f t="shared" si="13"/>
        <v>-330</v>
      </c>
      <c r="AF119" s="269">
        <v>2.86</v>
      </c>
      <c r="AG119" s="269">
        <v>2.9</v>
      </c>
      <c r="AH119" s="270"/>
      <c r="AI119" s="270"/>
      <c r="AJ119" s="193"/>
      <c r="AK119" s="193"/>
      <c r="AL119" s="193"/>
      <c r="AM119" s="271">
        <v>44270</v>
      </c>
      <c r="AN119" s="271">
        <v>46022</v>
      </c>
      <c r="AO119" s="272"/>
      <c r="AP119" s="272"/>
      <c r="AQ119" s="272"/>
      <c r="AR119" s="272"/>
      <c r="AS119" s="272"/>
      <c r="AT119" s="272"/>
      <c r="AU119" s="272"/>
      <c r="AV119" s="277" t="s">
        <v>70</v>
      </c>
      <c r="AW119" s="308" t="s">
        <v>70</v>
      </c>
      <c r="AX119" s="272"/>
      <c r="AY119" s="272"/>
      <c r="AZ119" s="272"/>
      <c r="BA119" s="272"/>
      <c r="BB119" s="272"/>
      <c r="BC119" s="272"/>
      <c r="BD119" s="272"/>
      <c r="BE119" s="272"/>
      <c r="BF119" s="272"/>
      <c r="BG119" s="323"/>
      <c r="BH119" s="285" t="s">
        <v>1535</v>
      </c>
    </row>
    <row r="120" spans="1:60" s="81" customFormat="1" ht="20.100000000000001" customHeight="1">
      <c r="A120" s="190">
        <v>115</v>
      </c>
      <c r="B120" s="193" t="s">
        <v>269</v>
      </c>
      <c r="C120" s="192" t="s">
        <v>72</v>
      </c>
      <c r="D120" s="192" t="s">
        <v>73</v>
      </c>
      <c r="E120" s="192" t="s">
        <v>294</v>
      </c>
      <c r="F120" s="192" t="s">
        <v>295</v>
      </c>
      <c r="G120" s="266">
        <v>21551</v>
      </c>
      <c r="H120" s="193">
        <v>1995</v>
      </c>
      <c r="I120" s="266">
        <v>7</v>
      </c>
      <c r="J120" s="266">
        <v>755</v>
      </c>
      <c r="K120" s="266"/>
      <c r="L120" s="266"/>
      <c r="M120" s="266"/>
      <c r="N120" s="266"/>
      <c r="O120" s="266"/>
      <c r="P120" s="268"/>
      <c r="Q120" s="268"/>
      <c r="R120" s="268"/>
      <c r="S120" s="268"/>
      <c r="T120" s="268">
        <f t="shared" si="12"/>
        <v>0</v>
      </c>
      <c r="U120" s="266"/>
      <c r="V120" s="266"/>
      <c r="W120" s="266"/>
      <c r="X120" s="266"/>
      <c r="Y120" s="266"/>
      <c r="Z120" s="266"/>
      <c r="AA120" s="266"/>
      <c r="AB120" s="266"/>
      <c r="AC120" s="266"/>
      <c r="AD120" s="266"/>
      <c r="AE120" s="266">
        <f t="shared" si="13"/>
        <v>-755</v>
      </c>
      <c r="AF120" s="269">
        <v>2.9</v>
      </c>
      <c r="AG120" s="269">
        <v>2.9</v>
      </c>
      <c r="AH120" s="270"/>
      <c r="AI120" s="270"/>
      <c r="AJ120" s="193"/>
      <c r="AK120" s="193"/>
      <c r="AL120" s="193"/>
      <c r="AM120" s="271">
        <v>44270</v>
      </c>
      <c r="AN120" s="271">
        <v>46022</v>
      </c>
      <c r="AO120" s="272"/>
      <c r="AP120" s="272"/>
      <c r="AQ120" s="272"/>
      <c r="AR120" s="272"/>
      <c r="AS120" s="272"/>
      <c r="AT120" s="272"/>
      <c r="AU120" s="272"/>
      <c r="AV120" s="277" t="s">
        <v>70</v>
      </c>
      <c r="AW120" s="308" t="s">
        <v>70</v>
      </c>
      <c r="AX120" s="272"/>
      <c r="AY120" s="272"/>
      <c r="AZ120" s="272"/>
      <c r="BA120" s="272"/>
      <c r="BB120" s="272"/>
      <c r="BC120" s="272"/>
      <c r="BD120" s="272"/>
      <c r="BE120" s="272"/>
      <c r="BF120" s="272"/>
      <c r="BG120" s="323"/>
      <c r="BH120" s="285" t="s">
        <v>1535</v>
      </c>
    </row>
    <row r="121" spans="1:60" s="81" customFormat="1" ht="20.100000000000001" customHeight="1">
      <c r="A121" s="190">
        <v>116</v>
      </c>
      <c r="B121" s="193" t="s">
        <v>269</v>
      </c>
      <c r="C121" s="192" t="s">
        <v>72</v>
      </c>
      <c r="D121" s="192" t="s">
        <v>73</v>
      </c>
      <c r="E121" s="192" t="s">
        <v>296</v>
      </c>
      <c r="F121" s="192" t="s">
        <v>297</v>
      </c>
      <c r="G121" s="266">
        <v>10169</v>
      </c>
      <c r="H121" s="193">
        <v>1992</v>
      </c>
      <c r="I121" s="266">
        <v>2</v>
      </c>
      <c r="J121" s="266">
        <v>299</v>
      </c>
      <c r="K121" s="266"/>
      <c r="L121" s="266"/>
      <c r="M121" s="266"/>
      <c r="N121" s="266"/>
      <c r="O121" s="266"/>
      <c r="P121" s="268"/>
      <c r="Q121" s="268"/>
      <c r="R121" s="268"/>
      <c r="S121" s="268"/>
      <c r="T121" s="268">
        <f t="shared" si="12"/>
        <v>0</v>
      </c>
      <c r="U121" s="266"/>
      <c r="V121" s="266"/>
      <c r="W121" s="266"/>
      <c r="X121" s="266"/>
      <c r="Y121" s="266"/>
      <c r="Z121" s="266"/>
      <c r="AA121" s="266"/>
      <c r="AB121" s="266"/>
      <c r="AC121" s="266"/>
      <c r="AD121" s="266"/>
      <c r="AE121" s="266">
        <f t="shared" si="13"/>
        <v>-299</v>
      </c>
      <c r="AF121" s="269">
        <v>2.4</v>
      </c>
      <c r="AG121" s="269">
        <v>2.9</v>
      </c>
      <c r="AH121" s="270"/>
      <c r="AI121" s="270"/>
      <c r="AJ121" s="193"/>
      <c r="AK121" s="193"/>
      <c r="AL121" s="193"/>
      <c r="AM121" s="271">
        <v>44270</v>
      </c>
      <c r="AN121" s="271">
        <v>45657</v>
      </c>
      <c r="AO121" s="272"/>
      <c r="AP121" s="272"/>
      <c r="AQ121" s="272"/>
      <c r="AR121" s="272"/>
      <c r="AS121" s="272">
        <v>44742</v>
      </c>
      <c r="AT121" s="272"/>
      <c r="AU121" s="272">
        <v>45016</v>
      </c>
      <c r="AV121" s="272" t="s">
        <v>82</v>
      </c>
      <c r="AW121" s="193" t="s">
        <v>298</v>
      </c>
      <c r="AX121" s="272" t="s">
        <v>82</v>
      </c>
      <c r="AY121" s="272"/>
      <c r="AZ121" s="272"/>
      <c r="BA121" s="272"/>
      <c r="BB121" s="272"/>
      <c r="BC121" s="272"/>
      <c r="BD121" s="272"/>
      <c r="BE121" s="272"/>
      <c r="BF121" s="272"/>
      <c r="BG121" s="323"/>
      <c r="BH121" s="285" t="s">
        <v>1535</v>
      </c>
    </row>
    <row r="122" spans="1:60" s="81" customFormat="1" ht="20.100000000000001" customHeight="1">
      <c r="A122" s="190">
        <v>117</v>
      </c>
      <c r="B122" s="193" t="s">
        <v>269</v>
      </c>
      <c r="C122" s="192" t="s">
        <v>72</v>
      </c>
      <c r="D122" s="192" t="s">
        <v>73</v>
      </c>
      <c r="E122" s="192" t="s">
        <v>299</v>
      </c>
      <c r="F122" s="192" t="s">
        <v>300</v>
      </c>
      <c r="G122" s="266">
        <v>13638</v>
      </c>
      <c r="H122" s="193">
        <v>1992</v>
      </c>
      <c r="I122" s="266">
        <v>3</v>
      </c>
      <c r="J122" s="266">
        <v>200</v>
      </c>
      <c r="K122" s="266"/>
      <c r="L122" s="266"/>
      <c r="M122" s="266"/>
      <c r="N122" s="266"/>
      <c r="O122" s="266"/>
      <c r="P122" s="268"/>
      <c r="Q122" s="268"/>
      <c r="R122" s="268"/>
      <c r="S122" s="268"/>
      <c r="T122" s="268">
        <f t="shared" si="12"/>
        <v>0</v>
      </c>
      <c r="U122" s="266"/>
      <c r="V122" s="266"/>
      <c r="W122" s="266"/>
      <c r="X122" s="266"/>
      <c r="Y122" s="266"/>
      <c r="Z122" s="266"/>
      <c r="AA122" s="266"/>
      <c r="AB122" s="266"/>
      <c r="AC122" s="266"/>
      <c r="AD122" s="266"/>
      <c r="AE122" s="266">
        <f t="shared" si="13"/>
        <v>-200</v>
      </c>
      <c r="AF122" s="269">
        <v>2.5</v>
      </c>
      <c r="AG122" s="269">
        <v>2.9</v>
      </c>
      <c r="AH122" s="270"/>
      <c r="AI122" s="270"/>
      <c r="AJ122" s="193"/>
      <c r="AK122" s="193"/>
      <c r="AL122" s="193"/>
      <c r="AM122" s="271">
        <v>44270</v>
      </c>
      <c r="AN122" s="271">
        <v>45838</v>
      </c>
      <c r="AO122" s="272"/>
      <c r="AP122" s="272"/>
      <c r="AQ122" s="272"/>
      <c r="AR122" s="272"/>
      <c r="AS122" s="272">
        <v>45068</v>
      </c>
      <c r="AT122" s="272"/>
      <c r="AU122" s="275">
        <v>45345</v>
      </c>
      <c r="AV122" s="272" t="s">
        <v>82</v>
      </c>
      <c r="AW122" s="193" t="s">
        <v>298</v>
      </c>
      <c r="AX122" s="272" t="s">
        <v>82</v>
      </c>
      <c r="AY122" s="272"/>
      <c r="AZ122" s="272"/>
      <c r="BA122" s="272"/>
      <c r="BB122" s="272"/>
      <c r="BC122" s="272"/>
      <c r="BD122" s="272"/>
      <c r="BE122" s="272"/>
      <c r="BF122" s="272"/>
      <c r="BG122" s="323"/>
      <c r="BH122" s="285" t="s">
        <v>1537</v>
      </c>
    </row>
    <row r="123" spans="1:60" s="81" customFormat="1" ht="20.100000000000001" customHeight="1">
      <c r="A123" s="190">
        <v>118</v>
      </c>
      <c r="B123" s="193" t="s">
        <v>269</v>
      </c>
      <c r="C123" s="192" t="s">
        <v>72</v>
      </c>
      <c r="D123" s="192" t="s">
        <v>73</v>
      </c>
      <c r="E123" s="192" t="s">
        <v>301</v>
      </c>
      <c r="F123" s="192" t="s">
        <v>302</v>
      </c>
      <c r="G123" s="266">
        <v>11267</v>
      </c>
      <c r="H123" s="193">
        <v>1993</v>
      </c>
      <c r="I123" s="266">
        <v>2</v>
      </c>
      <c r="J123" s="266">
        <v>320</v>
      </c>
      <c r="K123" s="266"/>
      <c r="L123" s="266"/>
      <c r="M123" s="266"/>
      <c r="N123" s="266"/>
      <c r="O123" s="266"/>
      <c r="P123" s="268"/>
      <c r="Q123" s="268"/>
      <c r="R123" s="268"/>
      <c r="S123" s="268"/>
      <c r="T123" s="268">
        <f t="shared" si="12"/>
        <v>0</v>
      </c>
      <c r="U123" s="266"/>
      <c r="V123" s="266"/>
      <c r="W123" s="266"/>
      <c r="X123" s="266"/>
      <c r="Y123" s="266"/>
      <c r="Z123" s="266"/>
      <c r="AA123" s="266"/>
      <c r="AB123" s="266"/>
      <c r="AC123" s="266"/>
      <c r="AD123" s="266"/>
      <c r="AE123" s="266">
        <f t="shared" si="13"/>
        <v>-320</v>
      </c>
      <c r="AF123" s="269">
        <v>2.5</v>
      </c>
      <c r="AG123" s="269">
        <v>2.5</v>
      </c>
      <c r="AH123" s="270"/>
      <c r="AI123" s="270"/>
      <c r="AJ123" s="193"/>
      <c r="AK123" s="193"/>
      <c r="AL123" s="193"/>
      <c r="AM123" s="271">
        <v>44270</v>
      </c>
      <c r="AN123" s="271">
        <v>45291</v>
      </c>
      <c r="AO123" s="272"/>
      <c r="AP123" s="272"/>
      <c r="AQ123" s="272"/>
      <c r="AR123" s="272"/>
      <c r="AS123" s="272">
        <v>45058</v>
      </c>
      <c r="AT123" s="272"/>
      <c r="AU123" s="272"/>
      <c r="AV123" s="272" t="s">
        <v>70</v>
      </c>
      <c r="AW123" s="193" t="s">
        <v>70</v>
      </c>
      <c r="AX123" s="272"/>
      <c r="AY123" s="272"/>
      <c r="AZ123" s="272"/>
      <c r="BA123" s="272"/>
      <c r="BB123" s="272"/>
      <c r="BC123" s="272"/>
      <c r="BD123" s="272"/>
      <c r="BE123" s="272"/>
      <c r="BF123" s="272"/>
      <c r="BG123" s="323"/>
      <c r="BH123" s="285" t="s">
        <v>1537</v>
      </c>
    </row>
    <row r="124" spans="1:60" s="81" customFormat="1" ht="20.100000000000001" customHeight="1">
      <c r="A124" s="190">
        <v>119</v>
      </c>
      <c r="B124" s="193" t="s">
        <v>269</v>
      </c>
      <c r="C124" s="192" t="s">
        <v>72</v>
      </c>
      <c r="D124" s="192" t="s">
        <v>73</v>
      </c>
      <c r="E124" s="192" t="s">
        <v>303</v>
      </c>
      <c r="F124" s="192" t="s">
        <v>304</v>
      </c>
      <c r="G124" s="266">
        <v>31608</v>
      </c>
      <c r="H124" s="193">
        <v>1993</v>
      </c>
      <c r="I124" s="266">
        <v>10</v>
      </c>
      <c r="J124" s="266">
        <v>624</v>
      </c>
      <c r="K124" s="266"/>
      <c r="L124" s="266"/>
      <c r="M124" s="266"/>
      <c r="N124" s="266"/>
      <c r="O124" s="266"/>
      <c r="P124" s="268"/>
      <c r="Q124" s="268"/>
      <c r="R124" s="268"/>
      <c r="S124" s="268"/>
      <c r="T124" s="268">
        <f t="shared" si="12"/>
        <v>0</v>
      </c>
      <c r="U124" s="266"/>
      <c r="V124" s="266"/>
      <c r="W124" s="266"/>
      <c r="X124" s="266"/>
      <c r="Y124" s="266"/>
      <c r="Z124" s="266"/>
      <c r="AA124" s="266"/>
      <c r="AB124" s="266"/>
      <c r="AC124" s="266"/>
      <c r="AD124" s="266"/>
      <c r="AE124" s="266">
        <f t="shared" si="13"/>
        <v>-624</v>
      </c>
      <c r="AF124" s="269">
        <v>2.5</v>
      </c>
      <c r="AG124" s="269">
        <v>2.9</v>
      </c>
      <c r="AH124" s="270"/>
      <c r="AI124" s="270"/>
      <c r="AJ124" s="193"/>
      <c r="AK124" s="193"/>
      <c r="AL124" s="193"/>
      <c r="AM124" s="271">
        <v>44270</v>
      </c>
      <c r="AN124" s="271">
        <v>45838</v>
      </c>
      <c r="AO124" s="272"/>
      <c r="AP124" s="272"/>
      <c r="AQ124" s="272"/>
      <c r="AR124" s="272"/>
      <c r="AS124" s="272">
        <v>45058</v>
      </c>
      <c r="AT124" s="272"/>
      <c r="AU124" s="275" t="s">
        <v>305</v>
      </c>
      <c r="AV124" s="272" t="s">
        <v>82</v>
      </c>
      <c r="AW124" s="193" t="s">
        <v>298</v>
      </c>
      <c r="AX124" s="272" t="s">
        <v>82</v>
      </c>
      <c r="AY124" s="272"/>
      <c r="AZ124" s="272"/>
      <c r="BA124" s="272"/>
      <c r="BB124" s="272"/>
      <c r="BC124" s="272"/>
      <c r="BD124" s="272"/>
      <c r="BE124" s="272"/>
      <c r="BF124" s="272"/>
      <c r="BG124" s="323"/>
      <c r="BH124" s="285" t="s">
        <v>1537</v>
      </c>
    </row>
    <row r="125" spans="1:60" s="81" customFormat="1" ht="20.100000000000001" customHeight="1">
      <c r="A125" s="190">
        <v>120</v>
      </c>
      <c r="B125" s="193" t="s">
        <v>269</v>
      </c>
      <c r="C125" s="192" t="s">
        <v>72</v>
      </c>
      <c r="D125" s="192" t="s">
        <v>73</v>
      </c>
      <c r="E125" s="192" t="s">
        <v>306</v>
      </c>
      <c r="F125" s="192" t="s">
        <v>307</v>
      </c>
      <c r="G125" s="266">
        <v>7138</v>
      </c>
      <c r="H125" s="193">
        <v>1995</v>
      </c>
      <c r="I125" s="266">
        <v>2</v>
      </c>
      <c r="J125" s="266">
        <v>247</v>
      </c>
      <c r="K125" s="266"/>
      <c r="L125" s="266"/>
      <c r="M125" s="266"/>
      <c r="N125" s="266"/>
      <c r="O125" s="266"/>
      <c r="P125" s="268"/>
      <c r="Q125" s="268"/>
      <c r="R125" s="268"/>
      <c r="S125" s="268"/>
      <c r="T125" s="268">
        <f t="shared" si="12"/>
        <v>0</v>
      </c>
      <c r="U125" s="266"/>
      <c r="V125" s="266"/>
      <c r="W125" s="266"/>
      <c r="X125" s="266"/>
      <c r="Y125" s="266"/>
      <c r="Z125" s="266"/>
      <c r="AA125" s="266"/>
      <c r="AB125" s="266"/>
      <c r="AC125" s="266"/>
      <c r="AD125" s="266"/>
      <c r="AE125" s="266">
        <f t="shared" si="13"/>
        <v>-247</v>
      </c>
      <c r="AF125" s="269">
        <v>2.5</v>
      </c>
      <c r="AG125" s="269">
        <v>2.5</v>
      </c>
      <c r="AH125" s="270"/>
      <c r="AI125" s="270"/>
      <c r="AJ125" s="193"/>
      <c r="AK125" s="193"/>
      <c r="AL125" s="193"/>
      <c r="AM125" s="271">
        <v>44270</v>
      </c>
      <c r="AN125" s="271">
        <v>46022</v>
      </c>
      <c r="AO125" s="272"/>
      <c r="AP125" s="272"/>
      <c r="AQ125" s="272"/>
      <c r="AR125" s="272"/>
      <c r="AS125" s="272"/>
      <c r="AT125" s="272"/>
      <c r="AU125" s="272"/>
      <c r="AV125" s="272" t="s">
        <v>70</v>
      </c>
      <c r="AW125" s="193" t="s">
        <v>70</v>
      </c>
      <c r="AX125" s="272"/>
      <c r="AY125" s="272"/>
      <c r="AZ125" s="272"/>
      <c r="BA125" s="272"/>
      <c r="BB125" s="272"/>
      <c r="BC125" s="272"/>
      <c r="BD125" s="272"/>
      <c r="BE125" s="272"/>
      <c r="BF125" s="272"/>
      <c r="BG125" s="323"/>
      <c r="BH125" s="285" t="s">
        <v>1537</v>
      </c>
    </row>
    <row r="126" spans="1:60" s="81" customFormat="1" ht="20.100000000000001" customHeight="1">
      <c r="A126" s="190">
        <v>121</v>
      </c>
      <c r="B126" s="193" t="s">
        <v>269</v>
      </c>
      <c r="C126" s="192" t="s">
        <v>72</v>
      </c>
      <c r="D126" s="192" t="s">
        <v>73</v>
      </c>
      <c r="E126" s="192" t="s">
        <v>308</v>
      </c>
      <c r="F126" s="192" t="s">
        <v>309</v>
      </c>
      <c r="G126" s="266">
        <v>23170</v>
      </c>
      <c r="H126" s="193">
        <v>1994</v>
      </c>
      <c r="I126" s="266">
        <v>5</v>
      </c>
      <c r="J126" s="266">
        <v>368</v>
      </c>
      <c r="K126" s="266"/>
      <c r="L126" s="266"/>
      <c r="M126" s="266"/>
      <c r="N126" s="266"/>
      <c r="O126" s="266"/>
      <c r="P126" s="268"/>
      <c r="Q126" s="268"/>
      <c r="R126" s="268"/>
      <c r="S126" s="268"/>
      <c r="T126" s="268">
        <f t="shared" si="12"/>
        <v>0</v>
      </c>
      <c r="U126" s="266"/>
      <c r="V126" s="266"/>
      <c r="W126" s="266"/>
      <c r="X126" s="266"/>
      <c r="Y126" s="266"/>
      <c r="Z126" s="266"/>
      <c r="AA126" s="266"/>
      <c r="AB126" s="266"/>
      <c r="AC126" s="266"/>
      <c r="AD126" s="266"/>
      <c r="AE126" s="266">
        <f t="shared" si="13"/>
        <v>-368</v>
      </c>
      <c r="AF126" s="269">
        <v>2.5</v>
      </c>
      <c r="AG126" s="269">
        <v>2.9</v>
      </c>
      <c r="AH126" s="270"/>
      <c r="AI126" s="270"/>
      <c r="AJ126" s="193"/>
      <c r="AK126" s="193"/>
      <c r="AL126" s="193"/>
      <c r="AM126" s="271">
        <v>44270</v>
      </c>
      <c r="AN126" s="271">
        <v>45657</v>
      </c>
      <c r="AO126" s="272"/>
      <c r="AP126" s="272"/>
      <c r="AQ126" s="272"/>
      <c r="AR126" s="272"/>
      <c r="AS126" s="272"/>
      <c r="AT126" s="272"/>
      <c r="AU126" s="272"/>
      <c r="AV126" s="272" t="s">
        <v>70</v>
      </c>
      <c r="AW126" s="193" t="s">
        <v>70</v>
      </c>
      <c r="AX126" s="272"/>
      <c r="AY126" s="272"/>
      <c r="AZ126" s="272"/>
      <c r="BA126" s="272"/>
      <c r="BB126" s="272"/>
      <c r="BC126" s="272"/>
      <c r="BD126" s="272"/>
      <c r="BE126" s="272"/>
      <c r="BF126" s="272"/>
      <c r="BG126" s="323"/>
      <c r="BH126" s="285" t="s">
        <v>1535</v>
      </c>
    </row>
    <row r="127" spans="1:60" s="81" customFormat="1" ht="20.100000000000001" customHeight="1">
      <c r="A127" s="190">
        <v>122</v>
      </c>
      <c r="B127" s="193" t="s">
        <v>269</v>
      </c>
      <c r="C127" s="192" t="s">
        <v>72</v>
      </c>
      <c r="D127" s="192" t="s">
        <v>73</v>
      </c>
      <c r="E127" s="192" t="s">
        <v>310</v>
      </c>
      <c r="F127" s="192" t="s">
        <v>311</v>
      </c>
      <c r="G127" s="266">
        <v>37163</v>
      </c>
      <c r="H127" s="193">
        <v>1994</v>
      </c>
      <c r="I127" s="266">
        <v>6</v>
      </c>
      <c r="J127" s="266">
        <v>576</v>
      </c>
      <c r="K127" s="266"/>
      <c r="L127" s="266"/>
      <c r="M127" s="266"/>
      <c r="N127" s="266"/>
      <c r="O127" s="266"/>
      <c r="P127" s="268"/>
      <c r="Q127" s="268"/>
      <c r="R127" s="268"/>
      <c r="S127" s="268"/>
      <c r="T127" s="268">
        <f t="shared" si="12"/>
        <v>0</v>
      </c>
      <c r="U127" s="266"/>
      <c r="V127" s="266"/>
      <c r="W127" s="266"/>
      <c r="X127" s="266"/>
      <c r="Y127" s="266"/>
      <c r="Z127" s="266"/>
      <c r="AA127" s="266"/>
      <c r="AB127" s="266"/>
      <c r="AC127" s="266"/>
      <c r="AD127" s="266"/>
      <c r="AE127" s="266">
        <f t="shared" si="13"/>
        <v>-576</v>
      </c>
      <c r="AF127" s="269">
        <v>2.5</v>
      </c>
      <c r="AG127" s="269">
        <v>2.9</v>
      </c>
      <c r="AH127" s="270"/>
      <c r="AI127" s="270"/>
      <c r="AJ127" s="193"/>
      <c r="AK127" s="193"/>
      <c r="AL127" s="193"/>
      <c r="AM127" s="271">
        <v>44270</v>
      </c>
      <c r="AN127" s="271">
        <v>45657</v>
      </c>
      <c r="AO127" s="272"/>
      <c r="AP127" s="272"/>
      <c r="AQ127" s="272"/>
      <c r="AR127" s="272"/>
      <c r="AS127" s="272"/>
      <c r="AT127" s="272"/>
      <c r="AU127" s="272"/>
      <c r="AV127" s="272" t="s">
        <v>70</v>
      </c>
      <c r="AW127" s="193" t="s">
        <v>70</v>
      </c>
      <c r="AX127" s="272"/>
      <c r="AY127" s="272"/>
      <c r="AZ127" s="272"/>
      <c r="BA127" s="272"/>
      <c r="BB127" s="272"/>
      <c r="BC127" s="272"/>
      <c r="BD127" s="272"/>
      <c r="BE127" s="272"/>
      <c r="BF127" s="272"/>
      <c r="BG127" s="323"/>
      <c r="BH127" s="285" t="s">
        <v>1535</v>
      </c>
    </row>
    <row r="128" spans="1:60" s="81" customFormat="1" ht="20.100000000000001" customHeight="1">
      <c r="A128" s="190">
        <v>123</v>
      </c>
      <c r="B128" s="193" t="s">
        <v>269</v>
      </c>
      <c r="C128" s="192" t="s">
        <v>72</v>
      </c>
      <c r="D128" s="192" t="s">
        <v>73</v>
      </c>
      <c r="E128" s="192" t="s">
        <v>312</v>
      </c>
      <c r="F128" s="192" t="s">
        <v>313</v>
      </c>
      <c r="G128" s="266">
        <v>59946</v>
      </c>
      <c r="H128" s="193">
        <v>1994</v>
      </c>
      <c r="I128" s="266">
        <v>10</v>
      </c>
      <c r="J128" s="266">
        <v>1620</v>
      </c>
      <c r="K128" s="266"/>
      <c r="L128" s="266"/>
      <c r="M128" s="266"/>
      <c r="N128" s="266"/>
      <c r="O128" s="266"/>
      <c r="P128" s="268"/>
      <c r="Q128" s="268"/>
      <c r="R128" s="268"/>
      <c r="S128" s="268"/>
      <c r="T128" s="268">
        <f t="shared" si="12"/>
        <v>0</v>
      </c>
      <c r="U128" s="266"/>
      <c r="V128" s="266"/>
      <c r="W128" s="266"/>
      <c r="X128" s="266"/>
      <c r="Y128" s="266"/>
      <c r="Z128" s="266"/>
      <c r="AA128" s="266"/>
      <c r="AB128" s="266"/>
      <c r="AC128" s="266"/>
      <c r="AD128" s="266"/>
      <c r="AE128" s="266">
        <f t="shared" si="13"/>
        <v>-1620</v>
      </c>
      <c r="AF128" s="269">
        <v>2.5</v>
      </c>
      <c r="AG128" s="269">
        <v>2.9</v>
      </c>
      <c r="AH128" s="270"/>
      <c r="AI128" s="270"/>
      <c r="AJ128" s="193"/>
      <c r="AK128" s="193"/>
      <c r="AL128" s="193"/>
      <c r="AM128" s="271">
        <v>44270</v>
      </c>
      <c r="AN128" s="271">
        <v>45657</v>
      </c>
      <c r="AO128" s="272"/>
      <c r="AP128" s="272"/>
      <c r="AQ128" s="272"/>
      <c r="AR128" s="272"/>
      <c r="AS128" s="272"/>
      <c r="AT128" s="272"/>
      <c r="AU128" s="272"/>
      <c r="AV128" s="272" t="s">
        <v>70</v>
      </c>
      <c r="AW128" s="193" t="s">
        <v>70</v>
      </c>
      <c r="AX128" s="272"/>
      <c r="AY128" s="272"/>
      <c r="AZ128" s="272"/>
      <c r="BA128" s="272"/>
      <c r="BB128" s="272"/>
      <c r="BC128" s="272"/>
      <c r="BD128" s="272"/>
      <c r="BE128" s="272"/>
      <c r="BF128" s="272"/>
      <c r="BG128" s="323"/>
      <c r="BH128" s="285" t="s">
        <v>1535</v>
      </c>
    </row>
    <row r="129" spans="1:60" s="81" customFormat="1" ht="20.100000000000001" customHeight="1">
      <c r="A129" s="190">
        <v>124</v>
      </c>
      <c r="B129" s="193" t="s">
        <v>269</v>
      </c>
      <c r="C129" s="192" t="s">
        <v>72</v>
      </c>
      <c r="D129" s="192" t="s">
        <v>73</v>
      </c>
      <c r="E129" s="192" t="s">
        <v>314</v>
      </c>
      <c r="F129" s="192" t="s">
        <v>315</v>
      </c>
      <c r="G129" s="266">
        <v>51618</v>
      </c>
      <c r="H129" s="193">
        <v>1994</v>
      </c>
      <c r="I129" s="266">
        <v>12</v>
      </c>
      <c r="J129" s="266">
        <v>1168</v>
      </c>
      <c r="K129" s="266"/>
      <c r="L129" s="266"/>
      <c r="M129" s="266"/>
      <c r="N129" s="266"/>
      <c r="O129" s="266"/>
      <c r="P129" s="268"/>
      <c r="Q129" s="268"/>
      <c r="R129" s="268"/>
      <c r="S129" s="268"/>
      <c r="T129" s="268">
        <f t="shared" si="12"/>
        <v>0</v>
      </c>
      <c r="U129" s="266"/>
      <c r="V129" s="266"/>
      <c r="W129" s="266"/>
      <c r="X129" s="266"/>
      <c r="Y129" s="266"/>
      <c r="Z129" s="266"/>
      <c r="AA129" s="266"/>
      <c r="AB129" s="266"/>
      <c r="AC129" s="266"/>
      <c r="AD129" s="266"/>
      <c r="AE129" s="266">
        <f t="shared" si="13"/>
        <v>-1168</v>
      </c>
      <c r="AF129" s="269">
        <v>2.5</v>
      </c>
      <c r="AG129" s="269">
        <v>2.9</v>
      </c>
      <c r="AH129" s="270"/>
      <c r="AI129" s="270"/>
      <c r="AJ129" s="193"/>
      <c r="AK129" s="193"/>
      <c r="AL129" s="193"/>
      <c r="AM129" s="271">
        <v>44270</v>
      </c>
      <c r="AN129" s="271">
        <v>45657</v>
      </c>
      <c r="AO129" s="272"/>
      <c r="AP129" s="272"/>
      <c r="AQ129" s="272"/>
      <c r="AR129" s="272"/>
      <c r="AS129" s="272"/>
      <c r="AT129" s="272"/>
      <c r="AU129" s="272"/>
      <c r="AV129" s="272" t="s">
        <v>70</v>
      </c>
      <c r="AW129" s="193" t="s">
        <v>70</v>
      </c>
      <c r="AX129" s="272"/>
      <c r="AY129" s="272"/>
      <c r="AZ129" s="272"/>
      <c r="BA129" s="272"/>
      <c r="BB129" s="272"/>
      <c r="BC129" s="272"/>
      <c r="BD129" s="272"/>
      <c r="BE129" s="272"/>
      <c r="BF129" s="272"/>
      <c r="BG129" s="323"/>
      <c r="BH129" s="285" t="s">
        <v>1535</v>
      </c>
    </row>
    <row r="130" spans="1:60" s="81" customFormat="1" ht="20.100000000000001" customHeight="1">
      <c r="A130" s="190">
        <v>125</v>
      </c>
      <c r="B130" s="193" t="s">
        <v>269</v>
      </c>
      <c r="C130" s="192" t="s">
        <v>72</v>
      </c>
      <c r="D130" s="192" t="s">
        <v>73</v>
      </c>
      <c r="E130" s="192" t="s">
        <v>316</v>
      </c>
      <c r="F130" s="192" t="s">
        <v>317</v>
      </c>
      <c r="G130" s="266">
        <v>22571</v>
      </c>
      <c r="H130" s="193">
        <v>1994</v>
      </c>
      <c r="I130" s="266">
        <v>5</v>
      </c>
      <c r="J130" s="266">
        <v>619</v>
      </c>
      <c r="K130" s="266"/>
      <c r="L130" s="266"/>
      <c r="M130" s="266"/>
      <c r="N130" s="266"/>
      <c r="O130" s="266"/>
      <c r="P130" s="268"/>
      <c r="Q130" s="268"/>
      <c r="R130" s="268"/>
      <c r="S130" s="268"/>
      <c r="T130" s="268">
        <f t="shared" si="12"/>
        <v>0</v>
      </c>
      <c r="U130" s="266"/>
      <c r="V130" s="266"/>
      <c r="W130" s="266"/>
      <c r="X130" s="266"/>
      <c r="Y130" s="266"/>
      <c r="Z130" s="266"/>
      <c r="AA130" s="266"/>
      <c r="AB130" s="266"/>
      <c r="AC130" s="266"/>
      <c r="AD130" s="266"/>
      <c r="AE130" s="266">
        <f t="shared" si="13"/>
        <v>-619</v>
      </c>
      <c r="AF130" s="269">
        <v>2.5</v>
      </c>
      <c r="AG130" s="269">
        <v>2.9</v>
      </c>
      <c r="AH130" s="270"/>
      <c r="AI130" s="270"/>
      <c r="AJ130" s="193"/>
      <c r="AK130" s="193"/>
      <c r="AL130" s="193"/>
      <c r="AM130" s="271">
        <v>44270</v>
      </c>
      <c r="AN130" s="271">
        <v>45657</v>
      </c>
      <c r="AO130" s="272"/>
      <c r="AP130" s="272"/>
      <c r="AQ130" s="272"/>
      <c r="AR130" s="272"/>
      <c r="AS130" s="272"/>
      <c r="AT130" s="272"/>
      <c r="AU130" s="272"/>
      <c r="AV130" s="272" t="s">
        <v>70</v>
      </c>
      <c r="AW130" s="193" t="s">
        <v>70</v>
      </c>
      <c r="AX130" s="272"/>
      <c r="AY130" s="272"/>
      <c r="AZ130" s="272"/>
      <c r="BA130" s="272"/>
      <c r="BB130" s="272"/>
      <c r="BC130" s="272"/>
      <c r="BD130" s="272"/>
      <c r="BE130" s="272"/>
      <c r="BF130" s="272"/>
      <c r="BG130" s="323"/>
      <c r="BH130" s="285" t="s">
        <v>1535</v>
      </c>
    </row>
    <row r="131" spans="1:60" s="81" customFormat="1" ht="20.100000000000001" customHeight="1">
      <c r="A131" s="190">
        <v>126</v>
      </c>
      <c r="B131" s="193" t="s">
        <v>269</v>
      </c>
      <c r="C131" s="192" t="s">
        <v>72</v>
      </c>
      <c r="D131" s="192" t="s">
        <v>73</v>
      </c>
      <c r="E131" s="192" t="s">
        <v>318</v>
      </c>
      <c r="F131" s="192" t="s">
        <v>319</v>
      </c>
      <c r="G131" s="266">
        <v>12112</v>
      </c>
      <c r="H131" s="193">
        <v>1995</v>
      </c>
      <c r="I131" s="266">
        <v>3</v>
      </c>
      <c r="J131" s="266">
        <v>190</v>
      </c>
      <c r="K131" s="266"/>
      <c r="L131" s="266"/>
      <c r="M131" s="266"/>
      <c r="N131" s="266"/>
      <c r="O131" s="266"/>
      <c r="P131" s="268"/>
      <c r="Q131" s="268"/>
      <c r="R131" s="268"/>
      <c r="S131" s="268"/>
      <c r="T131" s="268">
        <f t="shared" si="12"/>
        <v>0</v>
      </c>
      <c r="U131" s="266"/>
      <c r="V131" s="266"/>
      <c r="W131" s="266"/>
      <c r="X131" s="266"/>
      <c r="Y131" s="266"/>
      <c r="Z131" s="266"/>
      <c r="AA131" s="266"/>
      <c r="AB131" s="266"/>
      <c r="AC131" s="266"/>
      <c r="AD131" s="266"/>
      <c r="AE131" s="266">
        <f t="shared" si="13"/>
        <v>-190</v>
      </c>
      <c r="AF131" s="269">
        <v>2.5</v>
      </c>
      <c r="AG131" s="269">
        <v>2.9</v>
      </c>
      <c r="AH131" s="270"/>
      <c r="AI131" s="270"/>
      <c r="AJ131" s="193"/>
      <c r="AK131" s="193"/>
      <c r="AL131" s="193"/>
      <c r="AM131" s="271">
        <v>44270</v>
      </c>
      <c r="AN131" s="271">
        <v>46022</v>
      </c>
      <c r="AO131" s="272"/>
      <c r="AP131" s="272"/>
      <c r="AQ131" s="272"/>
      <c r="AR131" s="272"/>
      <c r="AS131" s="272"/>
      <c r="AT131" s="272"/>
      <c r="AU131" s="272"/>
      <c r="AV131" s="272" t="s">
        <v>70</v>
      </c>
      <c r="AW131" s="193" t="s">
        <v>70</v>
      </c>
      <c r="AX131" s="272"/>
      <c r="AY131" s="272"/>
      <c r="AZ131" s="272"/>
      <c r="BA131" s="272"/>
      <c r="BB131" s="272"/>
      <c r="BC131" s="272"/>
      <c r="BD131" s="272"/>
      <c r="BE131" s="272"/>
      <c r="BF131" s="272"/>
      <c r="BG131" s="323"/>
      <c r="BH131" s="285" t="s">
        <v>1535</v>
      </c>
    </row>
    <row r="132" spans="1:60" s="81" customFormat="1" ht="20.100000000000001" customHeight="1">
      <c r="A132" s="190">
        <v>127</v>
      </c>
      <c r="B132" s="193" t="s">
        <v>269</v>
      </c>
      <c r="C132" s="192" t="s">
        <v>72</v>
      </c>
      <c r="D132" s="192" t="s">
        <v>73</v>
      </c>
      <c r="E132" s="192" t="s">
        <v>320</v>
      </c>
      <c r="F132" s="192" t="s">
        <v>321</v>
      </c>
      <c r="G132" s="266">
        <v>29513</v>
      </c>
      <c r="H132" s="193">
        <v>1995</v>
      </c>
      <c r="I132" s="266">
        <v>5</v>
      </c>
      <c r="J132" s="266">
        <v>470</v>
      </c>
      <c r="K132" s="266"/>
      <c r="L132" s="266"/>
      <c r="M132" s="266"/>
      <c r="N132" s="266"/>
      <c r="O132" s="266"/>
      <c r="P132" s="268"/>
      <c r="Q132" s="268"/>
      <c r="R132" s="268"/>
      <c r="S132" s="268"/>
      <c r="T132" s="268">
        <f t="shared" si="12"/>
        <v>0</v>
      </c>
      <c r="U132" s="266"/>
      <c r="V132" s="266"/>
      <c r="W132" s="266"/>
      <c r="X132" s="266"/>
      <c r="Y132" s="266"/>
      <c r="Z132" s="266"/>
      <c r="AA132" s="266"/>
      <c r="AB132" s="266"/>
      <c r="AC132" s="266"/>
      <c r="AD132" s="266"/>
      <c r="AE132" s="266">
        <f t="shared" si="13"/>
        <v>-470</v>
      </c>
      <c r="AF132" s="269">
        <v>2.5</v>
      </c>
      <c r="AG132" s="269">
        <v>2.9</v>
      </c>
      <c r="AH132" s="270"/>
      <c r="AI132" s="270"/>
      <c r="AJ132" s="193"/>
      <c r="AK132" s="193"/>
      <c r="AL132" s="193"/>
      <c r="AM132" s="271">
        <v>44270</v>
      </c>
      <c r="AN132" s="271">
        <v>46022</v>
      </c>
      <c r="AO132" s="272"/>
      <c r="AP132" s="272"/>
      <c r="AQ132" s="272"/>
      <c r="AR132" s="272"/>
      <c r="AS132" s="272"/>
      <c r="AT132" s="272"/>
      <c r="AU132" s="272"/>
      <c r="AV132" s="272" t="s">
        <v>70</v>
      </c>
      <c r="AW132" s="193" t="s">
        <v>70</v>
      </c>
      <c r="AX132" s="272"/>
      <c r="AY132" s="272"/>
      <c r="AZ132" s="272"/>
      <c r="BA132" s="272"/>
      <c r="BB132" s="272"/>
      <c r="BC132" s="272"/>
      <c r="BD132" s="272"/>
      <c r="BE132" s="272"/>
      <c r="BF132" s="272"/>
      <c r="BG132" s="323"/>
      <c r="BH132" s="285" t="s">
        <v>1535</v>
      </c>
    </row>
    <row r="133" spans="1:60" s="81" customFormat="1" ht="20.100000000000001" customHeight="1">
      <c r="A133" s="190">
        <v>128</v>
      </c>
      <c r="B133" s="193" t="s">
        <v>269</v>
      </c>
      <c r="C133" s="192" t="s">
        <v>72</v>
      </c>
      <c r="D133" s="192" t="s">
        <v>73</v>
      </c>
      <c r="E133" s="192" t="s">
        <v>322</v>
      </c>
      <c r="F133" s="192" t="s">
        <v>323</v>
      </c>
      <c r="G133" s="266">
        <v>18330</v>
      </c>
      <c r="H133" s="193">
        <v>1995</v>
      </c>
      <c r="I133" s="266">
        <v>5</v>
      </c>
      <c r="J133" s="266">
        <v>416</v>
      </c>
      <c r="K133" s="266"/>
      <c r="L133" s="266"/>
      <c r="M133" s="266"/>
      <c r="N133" s="266"/>
      <c r="O133" s="266"/>
      <c r="P133" s="268"/>
      <c r="Q133" s="268"/>
      <c r="R133" s="268"/>
      <c r="S133" s="268"/>
      <c r="T133" s="268">
        <f t="shared" si="12"/>
        <v>0</v>
      </c>
      <c r="U133" s="266"/>
      <c r="V133" s="266"/>
      <c r="W133" s="266"/>
      <c r="X133" s="266"/>
      <c r="Y133" s="266"/>
      <c r="Z133" s="266"/>
      <c r="AA133" s="266"/>
      <c r="AB133" s="266"/>
      <c r="AC133" s="266"/>
      <c r="AD133" s="266"/>
      <c r="AE133" s="266">
        <f t="shared" si="13"/>
        <v>-416</v>
      </c>
      <c r="AF133" s="269">
        <v>2.5</v>
      </c>
      <c r="AG133" s="269">
        <v>2.9</v>
      </c>
      <c r="AH133" s="270"/>
      <c r="AI133" s="270"/>
      <c r="AJ133" s="193"/>
      <c r="AK133" s="193"/>
      <c r="AL133" s="193"/>
      <c r="AM133" s="271">
        <v>44270</v>
      </c>
      <c r="AN133" s="271">
        <v>46022</v>
      </c>
      <c r="AO133" s="272"/>
      <c r="AP133" s="272"/>
      <c r="AQ133" s="272"/>
      <c r="AR133" s="272"/>
      <c r="AS133" s="272"/>
      <c r="AT133" s="272"/>
      <c r="AU133" s="272"/>
      <c r="AV133" s="272" t="s">
        <v>70</v>
      </c>
      <c r="AW133" s="193" t="s">
        <v>70</v>
      </c>
      <c r="AX133" s="272"/>
      <c r="AY133" s="272"/>
      <c r="AZ133" s="272"/>
      <c r="BA133" s="272"/>
      <c r="BB133" s="272"/>
      <c r="BC133" s="272"/>
      <c r="BD133" s="272"/>
      <c r="BE133" s="272"/>
      <c r="BF133" s="272"/>
      <c r="BG133" s="323"/>
      <c r="BH133" s="285" t="s">
        <v>1535</v>
      </c>
    </row>
    <row r="134" spans="1:60" s="81" customFormat="1" ht="20.100000000000001" customHeight="1">
      <c r="A134" s="190">
        <v>129</v>
      </c>
      <c r="B134" s="193" t="s">
        <v>269</v>
      </c>
      <c r="C134" s="192" t="s">
        <v>72</v>
      </c>
      <c r="D134" s="192" t="s">
        <v>73</v>
      </c>
      <c r="E134" s="192" t="s">
        <v>324</v>
      </c>
      <c r="F134" s="192" t="s">
        <v>325</v>
      </c>
      <c r="G134" s="266">
        <v>21978</v>
      </c>
      <c r="H134" s="193">
        <v>1995</v>
      </c>
      <c r="I134" s="266">
        <v>6</v>
      </c>
      <c r="J134" s="266">
        <v>612</v>
      </c>
      <c r="K134" s="266"/>
      <c r="L134" s="266"/>
      <c r="M134" s="266"/>
      <c r="N134" s="266"/>
      <c r="O134" s="266"/>
      <c r="P134" s="268"/>
      <c r="Q134" s="268"/>
      <c r="R134" s="268"/>
      <c r="S134" s="268"/>
      <c r="T134" s="268">
        <f t="shared" si="12"/>
        <v>0</v>
      </c>
      <c r="U134" s="266"/>
      <c r="V134" s="266"/>
      <c r="W134" s="266"/>
      <c r="X134" s="266"/>
      <c r="Y134" s="266"/>
      <c r="Z134" s="266"/>
      <c r="AA134" s="266"/>
      <c r="AB134" s="266"/>
      <c r="AC134" s="266"/>
      <c r="AD134" s="266"/>
      <c r="AE134" s="266">
        <f t="shared" si="13"/>
        <v>-612</v>
      </c>
      <c r="AF134" s="269">
        <v>2.5</v>
      </c>
      <c r="AG134" s="269">
        <v>2.9</v>
      </c>
      <c r="AH134" s="270"/>
      <c r="AI134" s="270"/>
      <c r="AJ134" s="193"/>
      <c r="AK134" s="193"/>
      <c r="AL134" s="193"/>
      <c r="AM134" s="271">
        <v>44270</v>
      </c>
      <c r="AN134" s="271">
        <v>46022</v>
      </c>
      <c r="AO134" s="272"/>
      <c r="AP134" s="272"/>
      <c r="AQ134" s="309"/>
      <c r="AR134" s="272"/>
      <c r="AS134" s="272"/>
      <c r="AT134" s="272"/>
      <c r="AU134" s="272"/>
      <c r="AV134" s="272" t="s">
        <v>70</v>
      </c>
      <c r="AW134" s="193" t="s">
        <v>70</v>
      </c>
      <c r="AX134" s="272"/>
      <c r="AY134" s="272"/>
      <c r="AZ134" s="272"/>
      <c r="BA134" s="272"/>
      <c r="BB134" s="272"/>
      <c r="BC134" s="272"/>
      <c r="BD134" s="272"/>
      <c r="BE134" s="272"/>
      <c r="BF134" s="272"/>
      <c r="BG134" s="323"/>
      <c r="BH134" s="285" t="s">
        <v>1535</v>
      </c>
    </row>
    <row r="135" spans="1:60" s="81" customFormat="1" ht="20.100000000000001" customHeight="1">
      <c r="A135" s="190">
        <v>130</v>
      </c>
      <c r="B135" s="193" t="s">
        <v>269</v>
      </c>
      <c r="C135" s="192" t="s">
        <v>88</v>
      </c>
      <c r="D135" s="192" t="s">
        <v>73</v>
      </c>
      <c r="E135" s="192" t="s">
        <v>329</v>
      </c>
      <c r="F135" s="192" t="s">
        <v>330</v>
      </c>
      <c r="G135" s="266">
        <v>10412</v>
      </c>
      <c r="H135" s="193">
        <v>1994</v>
      </c>
      <c r="I135" s="266">
        <v>4</v>
      </c>
      <c r="J135" s="266">
        <v>205</v>
      </c>
      <c r="K135" s="266"/>
      <c r="L135" s="266"/>
      <c r="M135" s="266"/>
      <c r="N135" s="266"/>
      <c r="O135" s="266"/>
      <c r="P135" s="268"/>
      <c r="Q135" s="268"/>
      <c r="R135" s="268"/>
      <c r="S135" s="268"/>
      <c r="T135" s="268">
        <f t="shared" si="12"/>
        <v>0</v>
      </c>
      <c r="U135" s="266"/>
      <c r="V135" s="266"/>
      <c r="W135" s="266"/>
      <c r="X135" s="266"/>
      <c r="Y135" s="266"/>
      <c r="Z135" s="266"/>
      <c r="AA135" s="266"/>
      <c r="AB135" s="266"/>
      <c r="AC135" s="266"/>
      <c r="AD135" s="266"/>
      <c r="AE135" s="266">
        <f t="shared" si="13"/>
        <v>-205</v>
      </c>
      <c r="AF135" s="269">
        <v>2.5</v>
      </c>
      <c r="AG135" s="269">
        <v>2.9</v>
      </c>
      <c r="AH135" s="270"/>
      <c r="AI135" s="270"/>
      <c r="AJ135" s="193"/>
      <c r="AK135" s="193"/>
      <c r="AL135" s="193"/>
      <c r="AM135" s="271">
        <v>44270</v>
      </c>
      <c r="AN135" s="271">
        <v>46022</v>
      </c>
      <c r="AO135" s="272"/>
      <c r="AP135" s="272"/>
      <c r="AQ135" s="272"/>
      <c r="AR135" s="272">
        <v>45894</v>
      </c>
      <c r="AS135" s="272">
        <v>45236</v>
      </c>
      <c r="AT135" s="272"/>
      <c r="AU135" s="310" t="s">
        <v>331</v>
      </c>
      <c r="AV135" s="310" t="s">
        <v>82</v>
      </c>
      <c r="AW135" s="193" t="s">
        <v>70</v>
      </c>
      <c r="AX135" s="272"/>
      <c r="AY135" s="272"/>
      <c r="AZ135" s="272"/>
      <c r="BA135" s="272"/>
      <c r="BB135" s="272"/>
      <c r="BC135" s="272"/>
      <c r="BD135" s="272"/>
      <c r="BE135" s="272"/>
      <c r="BF135" s="272"/>
      <c r="BG135" s="323"/>
      <c r="BH135" s="285" t="s">
        <v>1537</v>
      </c>
    </row>
    <row r="136" spans="1:60" s="81" customFormat="1" ht="20.100000000000001" customHeight="1">
      <c r="A136" s="190">
        <v>131</v>
      </c>
      <c r="B136" s="193" t="s">
        <v>269</v>
      </c>
      <c r="C136" s="192" t="s">
        <v>88</v>
      </c>
      <c r="D136" s="192" t="s">
        <v>73</v>
      </c>
      <c r="E136" s="192" t="s">
        <v>332</v>
      </c>
      <c r="F136" s="192" t="s">
        <v>333</v>
      </c>
      <c r="G136" s="266">
        <v>20445</v>
      </c>
      <c r="H136" s="193">
        <v>1993</v>
      </c>
      <c r="I136" s="266">
        <v>7</v>
      </c>
      <c r="J136" s="266">
        <v>384</v>
      </c>
      <c r="K136" s="266"/>
      <c r="L136" s="266"/>
      <c r="M136" s="266"/>
      <c r="N136" s="266"/>
      <c r="O136" s="266"/>
      <c r="P136" s="268"/>
      <c r="Q136" s="268"/>
      <c r="R136" s="268"/>
      <c r="S136" s="268"/>
      <c r="T136" s="268">
        <f t="shared" si="12"/>
        <v>0</v>
      </c>
      <c r="U136" s="266"/>
      <c r="V136" s="266"/>
      <c r="W136" s="266"/>
      <c r="X136" s="266"/>
      <c r="Y136" s="266"/>
      <c r="Z136" s="266"/>
      <c r="AA136" s="266"/>
      <c r="AB136" s="266"/>
      <c r="AC136" s="266"/>
      <c r="AD136" s="266"/>
      <c r="AE136" s="266">
        <f t="shared" si="13"/>
        <v>-384</v>
      </c>
      <c r="AF136" s="269">
        <v>2.5</v>
      </c>
      <c r="AG136" s="269">
        <v>2.9</v>
      </c>
      <c r="AH136" s="270"/>
      <c r="AI136" s="270"/>
      <c r="AJ136" s="193"/>
      <c r="AK136" s="193"/>
      <c r="AL136" s="193"/>
      <c r="AM136" s="271">
        <v>44270</v>
      </c>
      <c r="AN136" s="271"/>
      <c r="AO136" s="272">
        <v>45681</v>
      </c>
      <c r="AP136" s="272">
        <v>45681</v>
      </c>
      <c r="AQ136" s="272"/>
      <c r="AR136" s="272">
        <v>45751</v>
      </c>
      <c r="AS136" s="272">
        <v>44316</v>
      </c>
      <c r="AT136" s="272"/>
      <c r="AU136" s="310">
        <v>44584</v>
      </c>
      <c r="AV136" s="310" t="s">
        <v>79</v>
      </c>
      <c r="AW136" s="193" t="s">
        <v>70</v>
      </c>
      <c r="AX136" s="272"/>
      <c r="AY136" s="272"/>
      <c r="AZ136" s="272"/>
      <c r="BA136" s="272"/>
      <c r="BB136" s="272"/>
      <c r="BC136" s="272"/>
      <c r="BD136" s="272"/>
      <c r="BE136" s="272"/>
      <c r="BF136" s="272"/>
      <c r="BG136" s="323"/>
      <c r="BH136" s="285" t="s">
        <v>1535</v>
      </c>
    </row>
    <row r="137" spans="1:60" s="81" customFormat="1" ht="20.100000000000001" customHeight="1">
      <c r="A137" s="190">
        <v>132</v>
      </c>
      <c r="B137" s="193" t="s">
        <v>269</v>
      </c>
      <c r="C137" s="192" t="s">
        <v>64</v>
      </c>
      <c r="D137" s="192" t="s">
        <v>73</v>
      </c>
      <c r="E137" s="192" t="s">
        <v>334</v>
      </c>
      <c r="F137" s="192" t="s">
        <v>335</v>
      </c>
      <c r="G137" s="266">
        <v>27259</v>
      </c>
      <c r="H137" s="193">
        <v>1995</v>
      </c>
      <c r="I137" s="266">
        <v>10</v>
      </c>
      <c r="J137" s="266">
        <v>774</v>
      </c>
      <c r="K137" s="266"/>
      <c r="L137" s="266"/>
      <c r="M137" s="266"/>
      <c r="N137" s="266"/>
      <c r="O137" s="266"/>
      <c r="P137" s="268"/>
      <c r="Q137" s="268"/>
      <c r="R137" s="268"/>
      <c r="S137" s="268"/>
      <c r="T137" s="268">
        <f t="shared" si="12"/>
        <v>0</v>
      </c>
      <c r="U137" s="266"/>
      <c r="V137" s="266"/>
      <c r="W137" s="266"/>
      <c r="X137" s="266"/>
      <c r="Y137" s="266"/>
      <c r="Z137" s="266"/>
      <c r="AA137" s="266"/>
      <c r="AB137" s="266"/>
      <c r="AC137" s="266"/>
      <c r="AD137" s="266"/>
      <c r="AE137" s="266">
        <f t="shared" si="13"/>
        <v>-774</v>
      </c>
      <c r="AF137" s="269">
        <v>2.5</v>
      </c>
      <c r="AG137" s="269">
        <v>2.9</v>
      </c>
      <c r="AH137" s="270"/>
      <c r="AI137" s="270"/>
      <c r="AJ137" s="193" t="s">
        <v>336</v>
      </c>
      <c r="AK137" s="193"/>
      <c r="AL137" s="193"/>
      <c r="AM137" s="271">
        <v>44270</v>
      </c>
      <c r="AN137" s="271"/>
      <c r="AO137" s="272">
        <v>45681</v>
      </c>
      <c r="AP137" s="272">
        <v>45681</v>
      </c>
      <c r="AQ137" s="272"/>
      <c r="AR137" s="311">
        <v>45736</v>
      </c>
      <c r="AS137" s="272">
        <v>44313</v>
      </c>
      <c r="AT137" s="272"/>
      <c r="AU137" s="310">
        <v>44672</v>
      </c>
      <c r="AV137" s="310" t="s">
        <v>79</v>
      </c>
      <c r="AW137" s="193" t="s">
        <v>70</v>
      </c>
      <c r="AX137" s="272"/>
      <c r="AY137" s="272">
        <v>45873</v>
      </c>
      <c r="AZ137" s="272"/>
      <c r="BA137" s="272"/>
      <c r="BB137" s="272"/>
      <c r="BC137" s="272"/>
      <c r="BD137" s="272"/>
      <c r="BE137" s="272"/>
      <c r="BF137" s="272"/>
      <c r="BG137" s="323"/>
      <c r="BH137" s="285" t="s">
        <v>1535</v>
      </c>
    </row>
    <row r="138" spans="1:60" s="81" customFormat="1" ht="20.100000000000001" customHeight="1">
      <c r="A138" s="190">
        <v>133</v>
      </c>
      <c r="B138" s="193" t="s">
        <v>269</v>
      </c>
      <c r="C138" s="192" t="s">
        <v>65</v>
      </c>
      <c r="D138" s="192" t="s">
        <v>85</v>
      </c>
      <c r="E138" s="192" t="s">
        <v>337</v>
      </c>
      <c r="F138" s="192" t="s">
        <v>338</v>
      </c>
      <c r="G138" s="266">
        <v>23793.200000000001</v>
      </c>
      <c r="H138" s="193">
        <v>1986</v>
      </c>
      <c r="I138" s="266">
        <v>61</v>
      </c>
      <c r="J138" s="266">
        <f>SUM(K138:O138)</f>
        <v>242</v>
      </c>
      <c r="K138" s="266">
        <v>242</v>
      </c>
      <c r="L138" s="266"/>
      <c r="M138" s="266"/>
      <c r="N138" s="266"/>
      <c r="O138" s="266"/>
      <c r="P138" s="268">
        <v>622</v>
      </c>
      <c r="Q138" s="268">
        <v>176</v>
      </c>
      <c r="R138" s="268">
        <v>414</v>
      </c>
      <c r="S138" s="268">
        <v>32</v>
      </c>
      <c r="T138" s="268">
        <f t="shared" si="12"/>
        <v>622</v>
      </c>
      <c r="U138" s="266">
        <v>590</v>
      </c>
      <c r="V138" s="266"/>
      <c r="W138" s="266">
        <v>141</v>
      </c>
      <c r="X138" s="266">
        <v>377</v>
      </c>
      <c r="Y138" s="266">
        <v>72</v>
      </c>
      <c r="Z138" s="266"/>
      <c r="AA138" s="266">
        <v>32</v>
      </c>
      <c r="AB138" s="266">
        <v>32</v>
      </c>
      <c r="AC138" s="266"/>
      <c r="AD138" s="266"/>
      <c r="AE138" s="266">
        <f t="shared" si="13"/>
        <v>380</v>
      </c>
      <c r="AF138" s="269">
        <v>3</v>
      </c>
      <c r="AG138" s="269">
        <v>4</v>
      </c>
      <c r="AH138" s="270">
        <v>176</v>
      </c>
      <c r="AI138" s="270">
        <v>176</v>
      </c>
      <c r="AJ138" s="193" t="s">
        <v>92</v>
      </c>
      <c r="AK138" s="193">
        <v>2007</v>
      </c>
      <c r="AL138" s="193"/>
      <c r="AM138" s="271">
        <v>39104</v>
      </c>
      <c r="AN138" s="271">
        <v>45657</v>
      </c>
      <c r="AO138" s="272">
        <v>39937</v>
      </c>
      <c r="AP138" s="272">
        <v>40361</v>
      </c>
      <c r="AQ138" s="272">
        <v>44644</v>
      </c>
      <c r="AR138" s="272">
        <v>39220</v>
      </c>
      <c r="AS138" s="272"/>
      <c r="AT138" s="272"/>
      <c r="AU138" s="310"/>
      <c r="AV138" s="310" t="s">
        <v>70</v>
      </c>
      <c r="AW138" s="312" t="s">
        <v>70</v>
      </c>
      <c r="AX138" s="272"/>
      <c r="AY138" s="272">
        <v>40952</v>
      </c>
      <c r="AZ138" s="272">
        <v>46154</v>
      </c>
      <c r="BA138" s="272"/>
      <c r="BB138" s="272"/>
      <c r="BC138" s="272"/>
      <c r="BD138" s="272"/>
      <c r="BE138" s="272"/>
      <c r="BF138" s="272"/>
      <c r="BG138" s="323"/>
      <c r="BH138" s="285" t="s">
        <v>1536</v>
      </c>
    </row>
    <row r="139" spans="1:60" s="81" customFormat="1" ht="20.100000000000001" customHeight="1">
      <c r="A139" s="190">
        <v>134</v>
      </c>
      <c r="B139" s="193" t="s">
        <v>269</v>
      </c>
      <c r="C139" s="192" t="s">
        <v>64</v>
      </c>
      <c r="D139" s="192" t="s">
        <v>73</v>
      </c>
      <c r="E139" s="192" t="s">
        <v>339</v>
      </c>
      <c r="F139" s="192" t="s">
        <v>340</v>
      </c>
      <c r="G139" s="266">
        <v>29694</v>
      </c>
      <c r="H139" s="193">
        <v>1992</v>
      </c>
      <c r="I139" s="266">
        <v>12</v>
      </c>
      <c r="J139" s="266">
        <v>570</v>
      </c>
      <c r="K139" s="266"/>
      <c r="L139" s="266"/>
      <c r="M139" s="266"/>
      <c r="N139" s="266"/>
      <c r="O139" s="266"/>
      <c r="P139" s="268"/>
      <c r="Q139" s="268"/>
      <c r="R139" s="268"/>
      <c r="S139" s="268"/>
      <c r="T139" s="268">
        <f t="shared" si="12"/>
        <v>0</v>
      </c>
      <c r="U139" s="266"/>
      <c r="V139" s="266"/>
      <c r="W139" s="266"/>
      <c r="X139" s="266"/>
      <c r="Y139" s="266"/>
      <c r="Z139" s="266"/>
      <c r="AA139" s="266"/>
      <c r="AB139" s="266"/>
      <c r="AC139" s="266"/>
      <c r="AD139" s="266"/>
      <c r="AE139" s="266">
        <f t="shared" si="13"/>
        <v>-570</v>
      </c>
      <c r="AF139" s="269">
        <v>2.9</v>
      </c>
      <c r="AG139" s="269">
        <v>2.9</v>
      </c>
      <c r="AH139" s="270"/>
      <c r="AI139" s="270"/>
      <c r="AJ139" s="193"/>
      <c r="AK139" s="193"/>
      <c r="AL139" s="193"/>
      <c r="AM139" s="271">
        <v>44270</v>
      </c>
      <c r="AN139" s="271"/>
      <c r="AO139" s="272">
        <v>45681</v>
      </c>
      <c r="AP139" s="272">
        <v>45681</v>
      </c>
      <c r="AQ139" s="272"/>
      <c r="AR139" s="272">
        <v>45758</v>
      </c>
      <c r="AS139" s="272">
        <v>44312</v>
      </c>
      <c r="AT139" s="272"/>
      <c r="AU139" s="310">
        <v>44549</v>
      </c>
      <c r="AV139" s="310" t="s">
        <v>79</v>
      </c>
      <c r="AW139" s="193" t="s">
        <v>70</v>
      </c>
      <c r="AX139" s="272"/>
      <c r="AY139" s="272">
        <v>45947</v>
      </c>
      <c r="AZ139" s="272"/>
      <c r="BA139" s="272"/>
      <c r="BB139" s="272"/>
      <c r="BC139" s="272"/>
      <c r="BD139" s="272"/>
      <c r="BE139" s="272"/>
      <c r="BF139" s="272"/>
      <c r="BG139" s="323"/>
      <c r="BH139" s="285" t="s">
        <v>1535</v>
      </c>
    </row>
    <row r="140" spans="1:60" s="81" customFormat="1" ht="20.100000000000001" customHeight="1">
      <c r="A140" s="190">
        <v>135</v>
      </c>
      <c r="B140" s="193" t="s">
        <v>269</v>
      </c>
      <c r="C140" s="192" t="s">
        <v>64</v>
      </c>
      <c r="D140" s="192" t="s">
        <v>73</v>
      </c>
      <c r="E140" s="192" t="s">
        <v>341</v>
      </c>
      <c r="F140" s="192" t="s">
        <v>342</v>
      </c>
      <c r="G140" s="266">
        <v>13249</v>
      </c>
      <c r="H140" s="193">
        <v>1994</v>
      </c>
      <c r="I140" s="266">
        <v>9</v>
      </c>
      <c r="J140" s="266">
        <v>1137</v>
      </c>
      <c r="K140" s="266"/>
      <c r="L140" s="266"/>
      <c r="M140" s="266"/>
      <c r="N140" s="266"/>
      <c r="O140" s="266"/>
      <c r="P140" s="268"/>
      <c r="Q140" s="268"/>
      <c r="R140" s="268"/>
      <c r="S140" s="268"/>
      <c r="T140" s="268">
        <f t="shared" si="12"/>
        <v>0</v>
      </c>
      <c r="U140" s="266"/>
      <c r="V140" s="266"/>
      <c r="W140" s="266"/>
      <c r="X140" s="266"/>
      <c r="Y140" s="266"/>
      <c r="Z140" s="266"/>
      <c r="AA140" s="266"/>
      <c r="AB140" s="266"/>
      <c r="AC140" s="266"/>
      <c r="AD140" s="266"/>
      <c r="AE140" s="266">
        <f t="shared" si="13"/>
        <v>-1137</v>
      </c>
      <c r="AF140" s="269">
        <v>2.5</v>
      </c>
      <c r="AG140" s="269">
        <v>2.9</v>
      </c>
      <c r="AH140" s="270"/>
      <c r="AI140" s="270"/>
      <c r="AJ140" s="193"/>
      <c r="AK140" s="193"/>
      <c r="AL140" s="193"/>
      <c r="AM140" s="271">
        <v>44270</v>
      </c>
      <c r="AN140" s="271"/>
      <c r="AO140" s="272">
        <v>45749</v>
      </c>
      <c r="AP140" s="272">
        <v>45749</v>
      </c>
      <c r="AQ140" s="272"/>
      <c r="AR140" s="272">
        <v>45856</v>
      </c>
      <c r="AS140" s="272">
        <v>44315</v>
      </c>
      <c r="AT140" s="272"/>
      <c r="AU140" s="310">
        <v>44672</v>
      </c>
      <c r="AV140" s="310" t="s">
        <v>79</v>
      </c>
      <c r="AW140" s="193" t="s">
        <v>70</v>
      </c>
      <c r="AX140" s="272"/>
      <c r="AY140" s="272">
        <v>46014</v>
      </c>
      <c r="AZ140" s="272"/>
      <c r="BA140" s="272"/>
      <c r="BB140" s="272"/>
      <c r="BC140" s="272"/>
      <c r="BD140" s="272"/>
      <c r="BE140" s="272"/>
      <c r="BF140" s="272"/>
      <c r="BG140" s="323"/>
      <c r="BH140" s="285" t="s">
        <v>1535</v>
      </c>
    </row>
    <row r="141" spans="1:60" s="81" customFormat="1" ht="20.100000000000001" customHeight="1">
      <c r="A141" s="190">
        <v>136</v>
      </c>
      <c r="B141" s="193" t="s">
        <v>269</v>
      </c>
      <c r="C141" s="192" t="s">
        <v>64</v>
      </c>
      <c r="D141" s="192" t="s">
        <v>73</v>
      </c>
      <c r="E141" s="192" t="s">
        <v>343</v>
      </c>
      <c r="F141" s="192" t="s">
        <v>344</v>
      </c>
      <c r="G141" s="266">
        <v>16739</v>
      </c>
      <c r="H141" s="193">
        <v>1995</v>
      </c>
      <c r="I141" s="266">
        <v>5</v>
      </c>
      <c r="J141" s="266">
        <v>420</v>
      </c>
      <c r="K141" s="266"/>
      <c r="L141" s="266"/>
      <c r="M141" s="266"/>
      <c r="N141" s="266"/>
      <c r="O141" s="266"/>
      <c r="P141" s="268"/>
      <c r="Q141" s="268"/>
      <c r="R141" s="268"/>
      <c r="S141" s="268"/>
      <c r="T141" s="268">
        <f t="shared" si="12"/>
        <v>0</v>
      </c>
      <c r="U141" s="266"/>
      <c r="V141" s="266"/>
      <c r="W141" s="266"/>
      <c r="X141" s="266"/>
      <c r="Y141" s="266"/>
      <c r="Z141" s="266"/>
      <c r="AA141" s="266"/>
      <c r="AB141" s="266"/>
      <c r="AC141" s="266"/>
      <c r="AD141" s="266"/>
      <c r="AE141" s="266">
        <f t="shared" si="13"/>
        <v>-420</v>
      </c>
      <c r="AF141" s="269">
        <v>2.5</v>
      </c>
      <c r="AG141" s="269">
        <v>2.9</v>
      </c>
      <c r="AH141" s="270"/>
      <c r="AI141" s="270"/>
      <c r="AJ141" s="193"/>
      <c r="AK141" s="193"/>
      <c r="AL141" s="193"/>
      <c r="AM141" s="271">
        <v>44270</v>
      </c>
      <c r="AN141" s="271"/>
      <c r="AO141" s="272">
        <v>45681</v>
      </c>
      <c r="AP141" s="272">
        <v>45681</v>
      </c>
      <c r="AQ141" s="272"/>
      <c r="AR141" s="272">
        <v>45769</v>
      </c>
      <c r="AS141" s="272">
        <v>44313</v>
      </c>
      <c r="AT141" s="272"/>
      <c r="AU141" s="310">
        <v>44722</v>
      </c>
      <c r="AV141" s="310" t="s">
        <v>79</v>
      </c>
      <c r="AW141" s="193" t="s">
        <v>70</v>
      </c>
      <c r="AX141" s="272"/>
      <c r="AY141" s="272">
        <v>45919</v>
      </c>
      <c r="AZ141" s="272"/>
      <c r="BA141" s="272"/>
      <c r="BB141" s="272"/>
      <c r="BC141" s="272"/>
      <c r="BD141" s="272"/>
      <c r="BE141" s="272"/>
      <c r="BF141" s="272"/>
      <c r="BG141" s="323"/>
      <c r="BH141" s="285" t="s">
        <v>1535</v>
      </c>
    </row>
    <row r="142" spans="1:60" s="81" customFormat="1" ht="20.100000000000001" customHeight="1">
      <c r="A142" s="190">
        <v>137</v>
      </c>
      <c r="B142" s="193" t="s">
        <v>269</v>
      </c>
      <c r="C142" s="192" t="s">
        <v>65</v>
      </c>
      <c r="D142" s="192" t="s">
        <v>85</v>
      </c>
      <c r="E142" s="192" t="s">
        <v>345</v>
      </c>
      <c r="F142" s="192" t="s">
        <v>346</v>
      </c>
      <c r="G142" s="266">
        <v>22646</v>
      </c>
      <c r="H142" s="193">
        <v>1986</v>
      </c>
      <c r="I142" s="266">
        <v>79</v>
      </c>
      <c r="J142" s="266">
        <f>SUM(K142:O142)</f>
        <v>143</v>
      </c>
      <c r="K142" s="266">
        <v>143</v>
      </c>
      <c r="L142" s="266"/>
      <c r="M142" s="266"/>
      <c r="N142" s="266"/>
      <c r="O142" s="266"/>
      <c r="P142" s="268">
        <f>SUM(Q142:S142)</f>
        <v>323</v>
      </c>
      <c r="Q142" s="268">
        <v>268</v>
      </c>
      <c r="R142" s="268"/>
      <c r="S142" s="268">
        <v>55</v>
      </c>
      <c r="T142" s="268">
        <f t="shared" si="12"/>
        <v>323</v>
      </c>
      <c r="U142" s="266">
        <f>SUM(V142:Z142)</f>
        <v>268</v>
      </c>
      <c r="V142" s="266"/>
      <c r="W142" s="266">
        <v>28</v>
      </c>
      <c r="X142" s="266">
        <v>240</v>
      </c>
      <c r="Y142" s="266"/>
      <c r="Z142" s="266"/>
      <c r="AA142" s="266">
        <f>SUM(AB142:AD142)</f>
        <v>55</v>
      </c>
      <c r="AB142" s="266">
        <v>29</v>
      </c>
      <c r="AC142" s="266">
        <v>26</v>
      </c>
      <c r="AD142" s="266"/>
      <c r="AE142" s="266">
        <f t="shared" si="13"/>
        <v>180</v>
      </c>
      <c r="AF142" s="269">
        <v>2</v>
      </c>
      <c r="AG142" s="269">
        <v>2.08</v>
      </c>
      <c r="AH142" s="270">
        <v>110</v>
      </c>
      <c r="AI142" s="270">
        <v>110</v>
      </c>
      <c r="AJ142" s="193" t="s">
        <v>92</v>
      </c>
      <c r="AK142" s="193">
        <v>2007</v>
      </c>
      <c r="AL142" s="193"/>
      <c r="AM142" s="271">
        <v>39104</v>
      </c>
      <c r="AN142" s="271"/>
      <c r="AO142" s="272"/>
      <c r="AP142" s="272">
        <v>39703</v>
      </c>
      <c r="AQ142" s="272">
        <v>40655</v>
      </c>
      <c r="AR142" s="272">
        <v>39143</v>
      </c>
      <c r="AS142" s="272"/>
      <c r="AT142" s="272"/>
      <c r="AU142" s="310"/>
      <c r="AV142" s="310" t="s">
        <v>70</v>
      </c>
      <c r="AW142" s="312" t="s">
        <v>70</v>
      </c>
      <c r="AX142" s="272"/>
      <c r="AY142" s="272">
        <v>39884</v>
      </c>
      <c r="AZ142" s="272">
        <v>40659</v>
      </c>
      <c r="BA142" s="272"/>
      <c r="BB142" s="272"/>
      <c r="BC142" s="272"/>
      <c r="BD142" s="272"/>
      <c r="BE142" s="272"/>
      <c r="BF142" s="272"/>
      <c r="BG142" s="323"/>
      <c r="BH142" s="285" t="s">
        <v>1536</v>
      </c>
    </row>
    <row r="143" spans="1:60" s="81" customFormat="1" ht="20.100000000000001" customHeight="1">
      <c r="A143" s="190">
        <v>138</v>
      </c>
      <c r="B143" s="193" t="s">
        <v>269</v>
      </c>
      <c r="C143" s="192" t="s">
        <v>67</v>
      </c>
      <c r="D143" s="192" t="s">
        <v>112</v>
      </c>
      <c r="E143" s="192" t="s">
        <v>347</v>
      </c>
      <c r="F143" s="192" t="s">
        <v>348</v>
      </c>
      <c r="G143" s="266">
        <v>35059</v>
      </c>
      <c r="H143" s="193"/>
      <c r="I143" s="266">
        <v>74</v>
      </c>
      <c r="J143" s="266">
        <f>SUM(K143:O143)</f>
        <v>105</v>
      </c>
      <c r="K143" s="266">
        <v>105</v>
      </c>
      <c r="L143" s="266"/>
      <c r="M143" s="266"/>
      <c r="N143" s="266"/>
      <c r="O143" s="266"/>
      <c r="P143" s="268"/>
      <c r="Q143" s="268"/>
      <c r="R143" s="268"/>
      <c r="S143" s="268"/>
      <c r="T143" s="268">
        <f t="shared" si="12"/>
        <v>0</v>
      </c>
      <c r="U143" s="266"/>
      <c r="V143" s="266" t="s">
        <v>116</v>
      </c>
      <c r="W143" s="266"/>
      <c r="X143" s="266"/>
      <c r="Y143" s="266"/>
      <c r="Z143" s="266"/>
      <c r="AA143" s="266"/>
      <c r="AB143" s="266"/>
      <c r="AC143" s="266"/>
      <c r="AD143" s="266"/>
      <c r="AE143" s="266">
        <f t="shared" si="13"/>
        <v>-105</v>
      </c>
      <c r="AF143" s="269">
        <v>2.2999999999999998</v>
      </c>
      <c r="AG143" s="269"/>
      <c r="AH143" s="270"/>
      <c r="AI143" s="270"/>
      <c r="AJ143" s="193" t="s">
        <v>117</v>
      </c>
      <c r="AK143" s="193">
        <v>2017</v>
      </c>
      <c r="AL143" s="193"/>
      <c r="AM143" s="271">
        <v>42732</v>
      </c>
      <c r="AN143" s="271"/>
      <c r="AO143" s="272">
        <v>43438</v>
      </c>
      <c r="AP143" s="272">
        <v>43438</v>
      </c>
      <c r="AQ143" s="272">
        <v>43798</v>
      </c>
      <c r="AR143" s="272"/>
      <c r="AS143" s="310"/>
      <c r="AT143" s="310"/>
      <c r="AU143" s="310"/>
      <c r="AV143" s="310" t="s">
        <v>70</v>
      </c>
      <c r="AW143" s="312" t="s">
        <v>70</v>
      </c>
      <c r="AX143" s="310"/>
      <c r="AY143" s="272"/>
      <c r="AZ143" s="275">
        <v>43878</v>
      </c>
      <c r="BA143" s="272"/>
      <c r="BB143" s="272">
        <v>45642</v>
      </c>
      <c r="BC143" s="272"/>
      <c r="BD143" s="272"/>
      <c r="BE143" s="272"/>
      <c r="BF143" s="272"/>
      <c r="BG143" s="323"/>
      <c r="BH143" s="285" t="s">
        <v>1536</v>
      </c>
    </row>
    <row r="144" spans="1:60" s="81" customFormat="1" ht="20.100000000000001" customHeight="1">
      <c r="A144" s="190">
        <v>139</v>
      </c>
      <c r="B144" s="193" t="s">
        <v>269</v>
      </c>
      <c r="C144" s="192" t="s">
        <v>68</v>
      </c>
      <c r="D144" s="192" t="s">
        <v>112</v>
      </c>
      <c r="E144" s="192" t="s">
        <v>349</v>
      </c>
      <c r="F144" s="192" t="s">
        <v>350</v>
      </c>
      <c r="G144" s="266">
        <v>83251</v>
      </c>
      <c r="H144" s="193"/>
      <c r="I144" s="266">
        <v>215</v>
      </c>
      <c r="J144" s="266">
        <f>SUM(K144:O144)</f>
        <v>215</v>
      </c>
      <c r="K144" s="266">
        <v>215</v>
      </c>
      <c r="L144" s="279" t="s">
        <v>115</v>
      </c>
      <c r="M144" s="266"/>
      <c r="N144" s="266"/>
      <c r="O144" s="266"/>
      <c r="P144" s="268"/>
      <c r="Q144" s="268"/>
      <c r="R144" s="268"/>
      <c r="S144" s="268"/>
      <c r="T144" s="268">
        <f t="shared" si="12"/>
        <v>0</v>
      </c>
      <c r="U144" s="266"/>
      <c r="V144" s="266" t="s">
        <v>116</v>
      </c>
      <c r="W144" s="266"/>
      <c r="X144" s="266"/>
      <c r="Y144" s="266"/>
      <c r="Z144" s="266"/>
      <c r="AA144" s="266"/>
      <c r="AB144" s="266"/>
      <c r="AC144" s="266"/>
      <c r="AD144" s="266"/>
      <c r="AE144" s="266">
        <f t="shared" si="13"/>
        <v>-215</v>
      </c>
      <c r="AF144" s="269">
        <v>2.2999999999999998</v>
      </c>
      <c r="AG144" s="269"/>
      <c r="AH144" s="270"/>
      <c r="AI144" s="270"/>
      <c r="AJ144" s="193" t="s">
        <v>117</v>
      </c>
      <c r="AK144" s="193">
        <v>2017</v>
      </c>
      <c r="AL144" s="193"/>
      <c r="AM144" s="271">
        <v>42732</v>
      </c>
      <c r="AN144" s="271"/>
      <c r="AO144" s="272">
        <v>43438</v>
      </c>
      <c r="AP144" s="272">
        <v>43438</v>
      </c>
      <c r="AQ144" s="272"/>
      <c r="AR144" s="272" t="s">
        <v>1441</v>
      </c>
      <c r="AS144" s="310"/>
      <c r="AT144" s="310"/>
      <c r="AU144" s="310"/>
      <c r="AV144" s="310" t="s">
        <v>70</v>
      </c>
      <c r="AW144" s="312" t="s">
        <v>70</v>
      </c>
      <c r="AX144" s="310"/>
      <c r="AY144" s="272"/>
      <c r="AZ144" s="272">
        <v>44783</v>
      </c>
      <c r="BA144" s="272"/>
      <c r="BB144" s="272">
        <v>44972</v>
      </c>
      <c r="BC144" s="272"/>
      <c r="BD144" s="272">
        <v>45930</v>
      </c>
      <c r="BE144" s="272"/>
      <c r="BF144" s="272"/>
      <c r="BG144" s="323"/>
      <c r="BH144" s="285" t="s">
        <v>1536</v>
      </c>
    </row>
    <row r="145" spans="1:60" s="184" customFormat="1" ht="20.100000000000001" customHeight="1">
      <c r="A145" s="190">
        <v>140</v>
      </c>
      <c r="B145" s="193" t="s">
        <v>269</v>
      </c>
      <c r="C145" s="192" t="s">
        <v>68</v>
      </c>
      <c r="D145" s="192" t="s">
        <v>112</v>
      </c>
      <c r="E145" s="192" t="s">
        <v>351</v>
      </c>
      <c r="F145" s="192" t="s">
        <v>352</v>
      </c>
      <c r="G145" s="266">
        <v>46330</v>
      </c>
      <c r="H145" s="193"/>
      <c r="I145" s="266">
        <v>80</v>
      </c>
      <c r="J145" s="266">
        <f>SUM(K145:O145)</f>
        <v>112</v>
      </c>
      <c r="K145" s="266">
        <v>112</v>
      </c>
      <c r="L145" s="266"/>
      <c r="M145" s="266"/>
      <c r="N145" s="266"/>
      <c r="O145" s="266"/>
      <c r="P145" s="268"/>
      <c r="Q145" s="268"/>
      <c r="R145" s="268"/>
      <c r="S145" s="268"/>
      <c r="T145" s="268">
        <f t="shared" si="12"/>
        <v>0</v>
      </c>
      <c r="U145" s="266"/>
      <c r="V145" s="266" t="s">
        <v>116</v>
      </c>
      <c r="W145" s="266"/>
      <c r="X145" s="266"/>
      <c r="Y145" s="266"/>
      <c r="Z145" s="266"/>
      <c r="AA145" s="266"/>
      <c r="AB145" s="266"/>
      <c r="AC145" s="266"/>
      <c r="AD145" s="266"/>
      <c r="AE145" s="266">
        <f t="shared" si="13"/>
        <v>-112</v>
      </c>
      <c r="AF145" s="269">
        <v>2.2999999999999998</v>
      </c>
      <c r="AG145" s="269"/>
      <c r="AH145" s="270"/>
      <c r="AI145" s="270"/>
      <c r="AJ145" s="193" t="s">
        <v>117</v>
      </c>
      <c r="AK145" s="193">
        <v>2017</v>
      </c>
      <c r="AL145" s="313"/>
      <c r="AM145" s="271">
        <v>42732</v>
      </c>
      <c r="AN145" s="271"/>
      <c r="AO145" s="272">
        <v>43438</v>
      </c>
      <c r="AP145" s="272">
        <v>43438</v>
      </c>
      <c r="AQ145" s="272"/>
      <c r="AR145" s="272" t="s">
        <v>1441</v>
      </c>
      <c r="AS145" s="310"/>
      <c r="AT145" s="310"/>
      <c r="AU145" s="310"/>
      <c r="AV145" s="310" t="s">
        <v>70</v>
      </c>
      <c r="AW145" s="312" t="s">
        <v>70</v>
      </c>
      <c r="AX145" s="310"/>
      <c r="AY145" s="272"/>
      <c r="AZ145" s="272">
        <v>43801</v>
      </c>
      <c r="BA145" s="272"/>
      <c r="BB145" s="272">
        <v>44638</v>
      </c>
      <c r="BC145" s="272"/>
      <c r="BD145" s="272">
        <v>46022</v>
      </c>
      <c r="BE145" s="272"/>
      <c r="BF145" s="272"/>
      <c r="BG145" s="323"/>
      <c r="BH145" s="285" t="s">
        <v>1536</v>
      </c>
    </row>
    <row r="146" spans="1:60" s="184" customFormat="1" ht="20.100000000000001" customHeight="1">
      <c r="A146" s="190">
        <v>141</v>
      </c>
      <c r="B146" s="193" t="s">
        <v>269</v>
      </c>
      <c r="C146" s="192" t="s">
        <v>68</v>
      </c>
      <c r="D146" s="192" t="s">
        <v>85</v>
      </c>
      <c r="E146" s="192" t="s">
        <v>353</v>
      </c>
      <c r="F146" s="192" t="s">
        <v>354</v>
      </c>
      <c r="G146" s="266">
        <v>49125.1</v>
      </c>
      <c r="H146" s="193">
        <v>1986</v>
      </c>
      <c r="I146" s="266">
        <v>123</v>
      </c>
      <c r="J146" s="266">
        <f t="shared" ref="J146:J156" si="17">SUM(K146:O146)</f>
        <v>603</v>
      </c>
      <c r="K146" s="266">
        <v>603</v>
      </c>
      <c r="L146" s="266"/>
      <c r="M146" s="266"/>
      <c r="N146" s="266"/>
      <c r="O146" s="266"/>
      <c r="P146" s="268">
        <f>SUM(Q146:S146)</f>
        <v>1308</v>
      </c>
      <c r="Q146" s="268">
        <v>158</v>
      </c>
      <c r="R146" s="268">
        <v>1082</v>
      </c>
      <c r="S146" s="268">
        <v>68</v>
      </c>
      <c r="T146" s="268">
        <f t="shared" si="12"/>
        <v>1308</v>
      </c>
      <c r="U146" s="266">
        <f>SUM(V146:Z146)</f>
        <v>1240</v>
      </c>
      <c r="V146" s="266"/>
      <c r="W146" s="266">
        <v>908</v>
      </c>
      <c r="X146" s="266">
        <v>332</v>
      </c>
      <c r="Y146" s="266"/>
      <c r="Z146" s="266"/>
      <c r="AA146" s="266">
        <f>SUM(AB146:AD146)</f>
        <v>68</v>
      </c>
      <c r="AB146" s="266">
        <v>34</v>
      </c>
      <c r="AC146" s="266">
        <v>34</v>
      </c>
      <c r="AD146" s="266"/>
      <c r="AE146" s="266">
        <f t="shared" si="13"/>
        <v>705</v>
      </c>
      <c r="AF146" s="269">
        <v>3</v>
      </c>
      <c r="AG146" s="269">
        <v>3.32</v>
      </c>
      <c r="AH146" s="270">
        <v>248</v>
      </c>
      <c r="AI146" s="270">
        <v>166</v>
      </c>
      <c r="AJ146" s="193" t="s">
        <v>92</v>
      </c>
      <c r="AK146" s="193">
        <v>2007</v>
      </c>
      <c r="AL146" s="193">
        <v>2023</v>
      </c>
      <c r="AM146" s="271">
        <v>39104</v>
      </c>
      <c r="AN146" s="271"/>
      <c r="AO146" s="272"/>
      <c r="AP146" s="272">
        <v>39962</v>
      </c>
      <c r="AQ146" s="272">
        <v>44581</v>
      </c>
      <c r="AR146" s="272">
        <v>39177</v>
      </c>
      <c r="AS146" s="272"/>
      <c r="AT146" s="272"/>
      <c r="AU146" s="310"/>
      <c r="AV146" s="310" t="s">
        <v>70</v>
      </c>
      <c r="AW146" s="312" t="s">
        <v>70</v>
      </c>
      <c r="AX146" s="272"/>
      <c r="AY146" s="272">
        <v>40065</v>
      </c>
      <c r="AZ146" s="272">
        <v>40731</v>
      </c>
      <c r="BA146" s="272">
        <v>43588</v>
      </c>
      <c r="BB146" s="272">
        <v>44250</v>
      </c>
      <c r="BC146" s="272">
        <v>44280</v>
      </c>
      <c r="BD146" s="272">
        <v>45862</v>
      </c>
      <c r="BE146" s="272">
        <v>45875</v>
      </c>
      <c r="BF146" s="272"/>
      <c r="BG146" s="323"/>
      <c r="BH146" s="285" t="s">
        <v>1536</v>
      </c>
    </row>
    <row r="147" spans="1:60" s="81" customFormat="1" ht="20.100000000000001" customHeight="1">
      <c r="A147" s="190">
        <v>142</v>
      </c>
      <c r="B147" s="193" t="s">
        <v>269</v>
      </c>
      <c r="C147" s="192" t="s">
        <v>68</v>
      </c>
      <c r="D147" s="192" t="s">
        <v>112</v>
      </c>
      <c r="E147" s="192" t="s">
        <v>355</v>
      </c>
      <c r="F147" s="192" t="s">
        <v>356</v>
      </c>
      <c r="G147" s="266">
        <v>110187.3</v>
      </c>
      <c r="H147" s="193"/>
      <c r="I147" s="266">
        <v>387</v>
      </c>
      <c r="J147" s="266">
        <f>SUM(K147:O147)</f>
        <v>318</v>
      </c>
      <c r="K147" s="266">
        <v>318</v>
      </c>
      <c r="L147" s="279" t="s">
        <v>115</v>
      </c>
      <c r="M147" s="266"/>
      <c r="N147" s="266"/>
      <c r="O147" s="266"/>
      <c r="P147" s="268"/>
      <c r="Q147" s="268"/>
      <c r="R147" s="268"/>
      <c r="S147" s="268"/>
      <c r="T147" s="268">
        <f t="shared" ref="T147:T156" si="18">U147+AA147</f>
        <v>0</v>
      </c>
      <c r="U147" s="266"/>
      <c r="V147" s="266" t="s">
        <v>116</v>
      </c>
      <c r="W147" s="266"/>
      <c r="X147" s="266"/>
      <c r="Y147" s="266"/>
      <c r="Z147" s="266"/>
      <c r="AA147" s="266"/>
      <c r="AB147" s="266"/>
      <c r="AC147" s="266"/>
      <c r="AD147" s="266"/>
      <c r="AE147" s="266">
        <f t="shared" ref="AE147:AE156" si="19">T147-J147</f>
        <v>-318</v>
      </c>
      <c r="AF147" s="269">
        <v>2.2999999999999998</v>
      </c>
      <c r="AG147" s="269"/>
      <c r="AH147" s="270"/>
      <c r="AI147" s="270"/>
      <c r="AJ147" s="193" t="s">
        <v>117</v>
      </c>
      <c r="AK147" s="193">
        <v>2017</v>
      </c>
      <c r="AL147" s="193">
        <v>2024</v>
      </c>
      <c r="AM147" s="271">
        <v>42732</v>
      </c>
      <c r="AN147" s="271"/>
      <c r="AO147" s="272">
        <v>43384</v>
      </c>
      <c r="AP147" s="272">
        <v>43384</v>
      </c>
      <c r="AQ147" s="272">
        <v>43735</v>
      </c>
      <c r="AR147" s="272" t="s">
        <v>1441</v>
      </c>
      <c r="AS147" s="310"/>
      <c r="AT147" s="310"/>
      <c r="AU147" s="310"/>
      <c r="AV147" s="310" t="s">
        <v>70</v>
      </c>
      <c r="AW147" s="312" t="s">
        <v>70</v>
      </c>
      <c r="AX147" s="310"/>
      <c r="AY147" s="272"/>
      <c r="AZ147" s="272">
        <v>43802</v>
      </c>
      <c r="BA147" s="272"/>
      <c r="BB147" s="272">
        <v>44270</v>
      </c>
      <c r="BC147" s="272"/>
      <c r="BD147" s="272">
        <v>45657</v>
      </c>
      <c r="BE147" s="272"/>
      <c r="BF147" s="272"/>
      <c r="BG147" s="323"/>
      <c r="BH147" s="285" t="s">
        <v>1536</v>
      </c>
    </row>
    <row r="148" spans="1:60" s="81" customFormat="1" ht="20.100000000000001" customHeight="1">
      <c r="A148" s="190">
        <v>143</v>
      </c>
      <c r="B148" s="193" t="s">
        <v>269</v>
      </c>
      <c r="C148" s="192" t="s">
        <v>68</v>
      </c>
      <c r="D148" s="192" t="s">
        <v>112</v>
      </c>
      <c r="E148" s="192" t="s">
        <v>357</v>
      </c>
      <c r="F148" s="192" t="s">
        <v>358</v>
      </c>
      <c r="G148" s="266">
        <v>93573</v>
      </c>
      <c r="H148" s="193"/>
      <c r="I148" s="266">
        <v>260</v>
      </c>
      <c r="J148" s="266">
        <f>SUM(K148:O148)</f>
        <v>218</v>
      </c>
      <c r="K148" s="266">
        <v>218</v>
      </c>
      <c r="L148" s="279" t="s">
        <v>115</v>
      </c>
      <c r="M148" s="266"/>
      <c r="N148" s="266"/>
      <c r="O148" s="266"/>
      <c r="P148" s="268"/>
      <c r="Q148" s="268"/>
      <c r="R148" s="268"/>
      <c r="S148" s="268"/>
      <c r="T148" s="268">
        <f t="shared" si="18"/>
        <v>0</v>
      </c>
      <c r="U148" s="266"/>
      <c r="V148" s="266" t="s">
        <v>116</v>
      </c>
      <c r="W148" s="266"/>
      <c r="X148" s="266"/>
      <c r="Y148" s="266"/>
      <c r="Z148" s="266"/>
      <c r="AA148" s="266"/>
      <c r="AB148" s="266"/>
      <c r="AC148" s="266"/>
      <c r="AD148" s="266"/>
      <c r="AE148" s="266">
        <f t="shared" si="19"/>
        <v>-218</v>
      </c>
      <c r="AF148" s="269">
        <v>2.2999999999999998</v>
      </c>
      <c r="AG148" s="269"/>
      <c r="AH148" s="270"/>
      <c r="AI148" s="270"/>
      <c r="AJ148" s="193" t="s">
        <v>117</v>
      </c>
      <c r="AK148" s="193">
        <v>2017</v>
      </c>
      <c r="AL148" s="193">
        <v>2023</v>
      </c>
      <c r="AM148" s="271">
        <v>42732</v>
      </c>
      <c r="AN148" s="271"/>
      <c r="AO148" s="272">
        <v>43384</v>
      </c>
      <c r="AP148" s="272">
        <v>43384</v>
      </c>
      <c r="AQ148" s="272">
        <v>43742</v>
      </c>
      <c r="AR148" s="272" t="s">
        <v>1441</v>
      </c>
      <c r="AS148" s="310"/>
      <c r="AT148" s="310"/>
      <c r="AU148" s="310"/>
      <c r="AV148" s="310" t="s">
        <v>70</v>
      </c>
      <c r="AW148" s="308" t="s">
        <v>70</v>
      </c>
      <c r="AX148" s="310"/>
      <c r="AY148" s="272"/>
      <c r="AZ148" s="272">
        <v>43801</v>
      </c>
      <c r="BA148" s="272"/>
      <c r="BB148" s="272">
        <v>44410</v>
      </c>
      <c r="BC148" s="272"/>
      <c r="BD148" s="272">
        <v>45289</v>
      </c>
      <c r="BE148" s="272"/>
      <c r="BF148" s="272"/>
      <c r="BG148" s="323"/>
      <c r="BH148" s="285" t="s">
        <v>1536</v>
      </c>
    </row>
    <row r="149" spans="1:60" s="81" customFormat="1" ht="20.100000000000001" customHeight="1">
      <c r="A149" s="190">
        <v>144</v>
      </c>
      <c r="B149" s="193" t="s">
        <v>269</v>
      </c>
      <c r="C149" s="192" t="s">
        <v>68</v>
      </c>
      <c r="D149" s="192" t="s">
        <v>112</v>
      </c>
      <c r="E149" s="192" t="s">
        <v>359</v>
      </c>
      <c r="F149" s="192" t="s">
        <v>360</v>
      </c>
      <c r="G149" s="266">
        <v>41541</v>
      </c>
      <c r="H149" s="193" t="s">
        <v>361</v>
      </c>
      <c r="I149" s="266">
        <v>96</v>
      </c>
      <c r="J149" s="266">
        <f>SUM(K149:O149)</f>
        <v>352</v>
      </c>
      <c r="K149" s="266">
        <v>352</v>
      </c>
      <c r="L149" s="279" t="s">
        <v>115</v>
      </c>
      <c r="M149" s="266"/>
      <c r="N149" s="266"/>
      <c r="O149" s="266"/>
      <c r="P149" s="268"/>
      <c r="Q149" s="268"/>
      <c r="R149" s="268"/>
      <c r="S149" s="268"/>
      <c r="T149" s="268">
        <f t="shared" si="18"/>
        <v>0</v>
      </c>
      <c r="U149" s="266"/>
      <c r="V149" s="266" t="s">
        <v>116</v>
      </c>
      <c r="W149" s="266"/>
      <c r="X149" s="266"/>
      <c r="Y149" s="266"/>
      <c r="Z149" s="266"/>
      <c r="AA149" s="266"/>
      <c r="AB149" s="266"/>
      <c r="AC149" s="266"/>
      <c r="AD149" s="266"/>
      <c r="AE149" s="266">
        <f t="shared" si="19"/>
        <v>-352</v>
      </c>
      <c r="AF149" s="269">
        <v>2.2999999999999998</v>
      </c>
      <c r="AG149" s="269">
        <v>2.2999999999999998</v>
      </c>
      <c r="AH149" s="270">
        <v>223</v>
      </c>
      <c r="AI149" s="270"/>
      <c r="AJ149" s="193" t="s">
        <v>117</v>
      </c>
      <c r="AK149" s="193">
        <v>2015</v>
      </c>
      <c r="AL149" s="193">
        <v>2022</v>
      </c>
      <c r="AM149" s="271">
        <v>40567</v>
      </c>
      <c r="AN149" s="271">
        <v>44196</v>
      </c>
      <c r="AO149" s="272">
        <v>42228</v>
      </c>
      <c r="AP149" s="272">
        <v>42423</v>
      </c>
      <c r="AQ149" s="272">
        <v>43497</v>
      </c>
      <c r="AR149" s="272"/>
      <c r="AS149" s="272"/>
      <c r="AT149" s="272"/>
      <c r="AU149" s="310"/>
      <c r="AV149" s="310" t="s">
        <v>70</v>
      </c>
      <c r="AW149" s="308" t="s">
        <v>70</v>
      </c>
      <c r="AX149" s="272"/>
      <c r="AY149" s="272"/>
      <c r="AZ149" s="272">
        <v>43096</v>
      </c>
      <c r="BA149" s="272"/>
      <c r="BB149" s="275">
        <v>43658</v>
      </c>
      <c r="BC149" s="272"/>
      <c r="BD149" s="272">
        <v>44637</v>
      </c>
      <c r="BE149" s="272"/>
      <c r="BF149" s="272"/>
      <c r="BG149" s="323"/>
      <c r="BH149" s="285" t="s">
        <v>1536</v>
      </c>
    </row>
    <row r="150" spans="1:60" s="184" customFormat="1" ht="20.100000000000001" customHeight="1">
      <c r="A150" s="190">
        <v>145</v>
      </c>
      <c r="B150" s="193" t="s">
        <v>269</v>
      </c>
      <c r="C150" s="192" t="s">
        <v>68</v>
      </c>
      <c r="D150" s="192" t="s">
        <v>73</v>
      </c>
      <c r="E150" s="192" t="s">
        <v>362</v>
      </c>
      <c r="F150" s="192" t="s">
        <v>363</v>
      </c>
      <c r="G150" s="266">
        <v>19826</v>
      </c>
      <c r="H150" s="193">
        <v>1984</v>
      </c>
      <c r="I150" s="266">
        <v>6</v>
      </c>
      <c r="J150" s="266">
        <f t="shared" si="17"/>
        <v>209</v>
      </c>
      <c r="K150" s="266">
        <v>209</v>
      </c>
      <c r="L150" s="266"/>
      <c r="M150" s="266"/>
      <c r="N150" s="266"/>
      <c r="O150" s="266"/>
      <c r="P150" s="268">
        <f>SUM(Q150:S150)</f>
        <v>452</v>
      </c>
      <c r="Q150" s="268">
        <v>207</v>
      </c>
      <c r="R150" s="268">
        <v>245</v>
      </c>
      <c r="S150" s="268"/>
      <c r="T150" s="268">
        <f t="shared" si="18"/>
        <v>452</v>
      </c>
      <c r="U150" s="266">
        <f>SUM(V150:Z150)</f>
        <v>452</v>
      </c>
      <c r="V150" s="266"/>
      <c r="W150" s="266">
        <v>282</v>
      </c>
      <c r="X150" s="266">
        <v>170</v>
      </c>
      <c r="Y150" s="266"/>
      <c r="Z150" s="266"/>
      <c r="AA150" s="266"/>
      <c r="AB150" s="266"/>
      <c r="AC150" s="266"/>
      <c r="AD150" s="266"/>
      <c r="AE150" s="266">
        <f t="shared" si="19"/>
        <v>243</v>
      </c>
      <c r="AF150" s="269">
        <v>0.41</v>
      </c>
      <c r="AG150" s="269">
        <v>2.48</v>
      </c>
      <c r="AH150" s="270">
        <v>211</v>
      </c>
      <c r="AI150" s="270">
        <v>207</v>
      </c>
      <c r="AJ150" s="193" t="s">
        <v>92</v>
      </c>
      <c r="AK150" s="193">
        <v>2009</v>
      </c>
      <c r="AL150" s="193">
        <v>2018</v>
      </c>
      <c r="AM150" s="271">
        <v>39104</v>
      </c>
      <c r="AN150" s="271"/>
      <c r="AO150" s="272"/>
      <c r="AP150" s="272">
        <v>40555</v>
      </c>
      <c r="AQ150" s="272">
        <v>41631</v>
      </c>
      <c r="AR150" s="272">
        <v>40044</v>
      </c>
      <c r="AS150" s="272"/>
      <c r="AT150" s="272"/>
      <c r="AU150" s="310">
        <v>40170</v>
      </c>
      <c r="AV150" s="310" t="s">
        <v>70</v>
      </c>
      <c r="AW150" s="308" t="s">
        <v>70</v>
      </c>
      <c r="AX150" s="272"/>
      <c r="AY150" s="272">
        <v>40681</v>
      </c>
      <c r="AZ150" s="272">
        <v>42299</v>
      </c>
      <c r="BA150" s="272">
        <v>42397</v>
      </c>
      <c r="BB150" s="272">
        <v>42607</v>
      </c>
      <c r="BC150" s="272">
        <v>42638</v>
      </c>
      <c r="BD150" s="272">
        <v>43497</v>
      </c>
      <c r="BE150" s="272">
        <v>43570</v>
      </c>
      <c r="BF150" s="272"/>
      <c r="BG150" s="323"/>
      <c r="BH150" s="285" t="s">
        <v>1535</v>
      </c>
    </row>
    <row r="151" spans="1:60" s="184" customFormat="1" ht="20.100000000000001" customHeight="1">
      <c r="A151" s="190">
        <v>146</v>
      </c>
      <c r="B151" s="193" t="s">
        <v>269</v>
      </c>
      <c r="C151" s="192" t="s">
        <v>68</v>
      </c>
      <c r="D151" s="192" t="s">
        <v>73</v>
      </c>
      <c r="E151" s="192" t="s">
        <v>364</v>
      </c>
      <c r="F151" s="192" t="s">
        <v>365</v>
      </c>
      <c r="G151" s="266">
        <v>21449</v>
      </c>
      <c r="H151" s="193">
        <v>1982</v>
      </c>
      <c r="I151" s="266">
        <v>8</v>
      </c>
      <c r="J151" s="266">
        <f t="shared" si="17"/>
        <v>450</v>
      </c>
      <c r="K151" s="266">
        <v>450</v>
      </c>
      <c r="L151" s="266"/>
      <c r="M151" s="266"/>
      <c r="N151" s="266"/>
      <c r="O151" s="266"/>
      <c r="P151" s="268">
        <f>SUM(Q151:S151)</f>
        <v>484</v>
      </c>
      <c r="Q151" s="268">
        <v>440</v>
      </c>
      <c r="R151" s="268">
        <v>44</v>
      </c>
      <c r="S151" s="268"/>
      <c r="T151" s="268">
        <f t="shared" si="18"/>
        <v>484</v>
      </c>
      <c r="U151" s="266">
        <f>SUM(V151:Z151)</f>
        <v>484</v>
      </c>
      <c r="V151" s="266"/>
      <c r="W151" s="266">
        <v>270</v>
      </c>
      <c r="X151" s="266">
        <v>178</v>
      </c>
      <c r="Y151" s="266">
        <v>36</v>
      </c>
      <c r="Z151" s="266"/>
      <c r="AA151" s="266"/>
      <c r="AB151" s="266"/>
      <c r="AC151" s="266"/>
      <c r="AD151" s="266"/>
      <c r="AE151" s="266">
        <f t="shared" si="19"/>
        <v>34</v>
      </c>
      <c r="AF151" s="269">
        <v>0.90080000000000005</v>
      </c>
      <c r="AG151" s="269">
        <v>2.1997</v>
      </c>
      <c r="AH151" s="270">
        <v>455</v>
      </c>
      <c r="AI151" s="270">
        <v>448</v>
      </c>
      <c r="AJ151" s="193" t="s">
        <v>92</v>
      </c>
      <c r="AK151" s="193">
        <v>2005</v>
      </c>
      <c r="AL151" s="193">
        <v>2009</v>
      </c>
      <c r="AM151" s="271">
        <v>39104</v>
      </c>
      <c r="AN151" s="271"/>
      <c r="AO151" s="272"/>
      <c r="AP151" s="272">
        <v>38733</v>
      </c>
      <c r="AQ151" s="272">
        <v>38843</v>
      </c>
      <c r="AR151" s="272"/>
      <c r="AS151" s="272"/>
      <c r="AT151" s="272"/>
      <c r="AU151" s="310">
        <v>37587</v>
      </c>
      <c r="AV151" s="310" t="s">
        <v>70</v>
      </c>
      <c r="AW151" s="308" t="s">
        <v>70</v>
      </c>
      <c r="AX151" s="272"/>
      <c r="AY151" s="272">
        <v>38533</v>
      </c>
      <c r="AZ151" s="272">
        <v>38909</v>
      </c>
      <c r="BA151" s="272">
        <v>39013</v>
      </c>
      <c r="BB151" s="272">
        <v>39259</v>
      </c>
      <c r="BC151" s="272">
        <v>39479</v>
      </c>
      <c r="BD151" s="272">
        <v>40141</v>
      </c>
      <c r="BE151" s="272">
        <v>40312</v>
      </c>
      <c r="BF151" s="272"/>
      <c r="BG151" s="323"/>
      <c r="BH151" s="285" t="s">
        <v>1535</v>
      </c>
    </row>
    <row r="152" spans="1:60" s="184" customFormat="1" ht="20.100000000000001" customHeight="1">
      <c r="A152" s="190">
        <v>147</v>
      </c>
      <c r="B152" s="193" t="s">
        <v>269</v>
      </c>
      <c r="C152" s="192" t="s">
        <v>68</v>
      </c>
      <c r="D152" s="192" t="s">
        <v>73</v>
      </c>
      <c r="E152" s="192" t="s">
        <v>366</v>
      </c>
      <c r="F152" s="192" t="s">
        <v>367</v>
      </c>
      <c r="G152" s="266">
        <v>31606.5</v>
      </c>
      <c r="H152" s="193">
        <v>1990</v>
      </c>
      <c r="I152" s="266">
        <v>14</v>
      </c>
      <c r="J152" s="266">
        <f t="shared" si="17"/>
        <v>560</v>
      </c>
      <c r="K152" s="266">
        <v>560</v>
      </c>
      <c r="L152" s="266"/>
      <c r="M152" s="266"/>
      <c r="N152" s="266"/>
      <c r="O152" s="266"/>
      <c r="P152" s="268">
        <f>SUM(Q152:S152)</f>
        <v>612</v>
      </c>
      <c r="Q152" s="268">
        <v>515</v>
      </c>
      <c r="R152" s="268">
        <v>97</v>
      </c>
      <c r="S152" s="268"/>
      <c r="T152" s="268">
        <f t="shared" si="18"/>
        <v>612</v>
      </c>
      <c r="U152" s="266">
        <f>SUM(V152:Z152)</f>
        <v>612</v>
      </c>
      <c r="V152" s="266"/>
      <c r="W152" s="266">
        <v>52</v>
      </c>
      <c r="X152" s="266">
        <v>463</v>
      </c>
      <c r="Y152" s="266">
        <v>97</v>
      </c>
      <c r="Z152" s="266"/>
      <c r="AA152" s="266"/>
      <c r="AB152" s="266"/>
      <c r="AC152" s="266"/>
      <c r="AD152" s="266"/>
      <c r="AE152" s="266">
        <f t="shared" si="19"/>
        <v>52</v>
      </c>
      <c r="AF152" s="269">
        <v>0.87270000000000003</v>
      </c>
      <c r="AG152" s="269">
        <v>2.4900000000000002</v>
      </c>
      <c r="AH152" s="270">
        <v>572</v>
      </c>
      <c r="AI152" s="270">
        <v>550</v>
      </c>
      <c r="AJ152" s="193" t="s">
        <v>92</v>
      </c>
      <c r="AK152" s="193">
        <v>2003</v>
      </c>
      <c r="AL152" s="193">
        <v>2013</v>
      </c>
      <c r="AM152" s="271">
        <v>39104</v>
      </c>
      <c r="AN152" s="271"/>
      <c r="AO152" s="272"/>
      <c r="AP152" s="272">
        <v>39419</v>
      </c>
      <c r="AQ152" s="272"/>
      <c r="AR152" s="272">
        <v>37970</v>
      </c>
      <c r="AS152" s="272"/>
      <c r="AT152" s="272"/>
      <c r="AU152" s="310">
        <v>38602</v>
      </c>
      <c r="AV152" s="310" t="s">
        <v>70</v>
      </c>
      <c r="AW152" s="308" t="s">
        <v>70</v>
      </c>
      <c r="AX152" s="272"/>
      <c r="AY152" s="272">
        <v>39632</v>
      </c>
      <c r="AZ152" s="272">
        <v>39986</v>
      </c>
      <c r="BA152" s="272">
        <v>40214</v>
      </c>
      <c r="BB152" s="272">
        <v>40666</v>
      </c>
      <c r="BC152" s="272">
        <v>41408</v>
      </c>
      <c r="BD152" s="272">
        <v>41520</v>
      </c>
      <c r="BE152" s="272">
        <v>41701</v>
      </c>
      <c r="BF152" s="272"/>
      <c r="BG152" s="323"/>
      <c r="BH152" s="285" t="s">
        <v>1535</v>
      </c>
    </row>
    <row r="153" spans="1:60" s="184" customFormat="1" ht="20.100000000000001" customHeight="1">
      <c r="A153" s="190">
        <v>148</v>
      </c>
      <c r="B153" s="193" t="s">
        <v>269</v>
      </c>
      <c r="C153" s="192" t="s">
        <v>68</v>
      </c>
      <c r="D153" s="192" t="s">
        <v>112</v>
      </c>
      <c r="E153" s="192" t="s">
        <v>368</v>
      </c>
      <c r="F153" s="192" t="s">
        <v>369</v>
      </c>
      <c r="G153" s="266">
        <v>31439</v>
      </c>
      <c r="H153" s="193">
        <v>1986</v>
      </c>
      <c r="I153" s="266">
        <v>116</v>
      </c>
      <c r="J153" s="266">
        <f t="shared" si="17"/>
        <v>211</v>
      </c>
      <c r="K153" s="266">
        <v>211</v>
      </c>
      <c r="L153" s="279" t="s">
        <v>115</v>
      </c>
      <c r="M153" s="266"/>
      <c r="N153" s="266"/>
      <c r="O153" s="266"/>
      <c r="P153" s="268"/>
      <c r="Q153" s="268"/>
      <c r="R153" s="268"/>
      <c r="S153" s="268"/>
      <c r="T153" s="268">
        <f t="shared" si="18"/>
        <v>0</v>
      </c>
      <c r="U153" s="266"/>
      <c r="V153" s="266" t="s">
        <v>116</v>
      </c>
      <c r="W153" s="266"/>
      <c r="X153" s="266"/>
      <c r="Y153" s="266"/>
      <c r="Z153" s="266"/>
      <c r="AA153" s="266"/>
      <c r="AB153" s="266"/>
      <c r="AC153" s="266"/>
      <c r="AD153" s="266"/>
      <c r="AE153" s="266">
        <f t="shared" si="19"/>
        <v>-211</v>
      </c>
      <c r="AF153" s="269">
        <v>2.4</v>
      </c>
      <c r="AG153" s="269"/>
      <c r="AH153" s="270">
        <v>125</v>
      </c>
      <c r="AI153" s="270"/>
      <c r="AJ153" s="193" t="s">
        <v>117</v>
      </c>
      <c r="AK153" s="193">
        <v>2007</v>
      </c>
      <c r="AL153" s="193">
        <v>2013</v>
      </c>
      <c r="AM153" s="271">
        <v>39104</v>
      </c>
      <c r="AN153" s="271"/>
      <c r="AO153" s="272"/>
      <c r="AP153" s="272">
        <v>40145</v>
      </c>
      <c r="AQ153" s="272"/>
      <c r="AR153" s="272"/>
      <c r="AS153" s="272"/>
      <c r="AT153" s="272"/>
      <c r="AU153" s="310"/>
      <c r="AV153" s="310" t="s">
        <v>70</v>
      </c>
      <c r="AW153" s="308" t="s">
        <v>70</v>
      </c>
      <c r="AX153" s="272"/>
      <c r="AY153" s="193"/>
      <c r="AZ153" s="272">
        <v>40660</v>
      </c>
      <c r="BA153" s="272"/>
      <c r="BB153" s="272">
        <v>40731</v>
      </c>
      <c r="BC153" s="272"/>
      <c r="BD153" s="272">
        <v>41348</v>
      </c>
      <c r="BE153" s="272"/>
      <c r="BF153" s="272"/>
      <c r="BG153" s="323"/>
      <c r="BH153" s="285" t="s">
        <v>1536</v>
      </c>
    </row>
    <row r="154" spans="1:60" s="184" customFormat="1" ht="20.100000000000001" customHeight="1">
      <c r="A154" s="190">
        <v>149</v>
      </c>
      <c r="B154" s="193" t="s">
        <v>269</v>
      </c>
      <c r="C154" s="192" t="s">
        <v>68</v>
      </c>
      <c r="D154" s="192" t="s">
        <v>112</v>
      </c>
      <c r="E154" s="192" t="s">
        <v>370</v>
      </c>
      <c r="F154" s="192" t="s">
        <v>371</v>
      </c>
      <c r="G154" s="266">
        <v>23983</v>
      </c>
      <c r="H154" s="193">
        <v>1986</v>
      </c>
      <c r="I154" s="266">
        <v>64</v>
      </c>
      <c r="J154" s="266">
        <f t="shared" si="17"/>
        <v>242</v>
      </c>
      <c r="K154" s="266">
        <v>242</v>
      </c>
      <c r="L154" s="279" t="s">
        <v>115</v>
      </c>
      <c r="M154" s="266"/>
      <c r="N154" s="266"/>
      <c r="O154" s="266"/>
      <c r="P154" s="268"/>
      <c r="Q154" s="268"/>
      <c r="R154" s="268"/>
      <c r="S154" s="268"/>
      <c r="T154" s="268">
        <f t="shared" si="18"/>
        <v>0</v>
      </c>
      <c r="U154" s="266"/>
      <c r="V154" s="266" t="s">
        <v>116</v>
      </c>
      <c r="W154" s="266"/>
      <c r="X154" s="266"/>
      <c r="Y154" s="266"/>
      <c r="Z154" s="266"/>
      <c r="AA154" s="266"/>
      <c r="AB154" s="266"/>
      <c r="AC154" s="266"/>
      <c r="AD154" s="266"/>
      <c r="AE154" s="266">
        <f t="shared" si="19"/>
        <v>-242</v>
      </c>
      <c r="AF154" s="269">
        <v>2.4</v>
      </c>
      <c r="AG154" s="269"/>
      <c r="AH154" s="270">
        <v>110</v>
      </c>
      <c r="AI154" s="270"/>
      <c r="AJ154" s="193" t="s">
        <v>117</v>
      </c>
      <c r="AK154" s="193">
        <v>2007</v>
      </c>
      <c r="AL154" s="193">
        <v>2013</v>
      </c>
      <c r="AM154" s="271">
        <v>39104</v>
      </c>
      <c r="AN154" s="271"/>
      <c r="AO154" s="272"/>
      <c r="AP154" s="272">
        <v>40145</v>
      </c>
      <c r="AQ154" s="272"/>
      <c r="AR154" s="272"/>
      <c r="AS154" s="272"/>
      <c r="AT154" s="272"/>
      <c r="AU154" s="310"/>
      <c r="AV154" s="310" t="s">
        <v>70</v>
      </c>
      <c r="AW154" s="308" t="s">
        <v>70</v>
      </c>
      <c r="AX154" s="272"/>
      <c r="AY154" s="193"/>
      <c r="AZ154" s="272">
        <v>40660</v>
      </c>
      <c r="BA154" s="272"/>
      <c r="BB154" s="272">
        <v>40731</v>
      </c>
      <c r="BC154" s="272"/>
      <c r="BD154" s="272">
        <v>41348</v>
      </c>
      <c r="BE154" s="272"/>
      <c r="BF154" s="272"/>
      <c r="BG154" s="323"/>
      <c r="BH154" s="285" t="s">
        <v>1536</v>
      </c>
    </row>
    <row r="155" spans="1:60" s="184" customFormat="1" ht="20.100000000000001" customHeight="1">
      <c r="A155" s="190">
        <v>150</v>
      </c>
      <c r="B155" s="193" t="s">
        <v>269</v>
      </c>
      <c r="C155" s="192" t="s">
        <v>68</v>
      </c>
      <c r="D155" s="192" t="s">
        <v>112</v>
      </c>
      <c r="E155" s="192" t="s">
        <v>372</v>
      </c>
      <c r="F155" s="192" t="s">
        <v>373</v>
      </c>
      <c r="G155" s="266">
        <v>28936</v>
      </c>
      <c r="H155" s="193">
        <v>1986</v>
      </c>
      <c r="I155" s="266">
        <v>48</v>
      </c>
      <c r="J155" s="266">
        <f t="shared" si="17"/>
        <v>175</v>
      </c>
      <c r="K155" s="266">
        <v>175</v>
      </c>
      <c r="L155" s="279" t="s">
        <v>115</v>
      </c>
      <c r="M155" s="266"/>
      <c r="N155" s="266"/>
      <c r="O155" s="266"/>
      <c r="P155" s="268"/>
      <c r="Q155" s="268"/>
      <c r="R155" s="268"/>
      <c r="S155" s="268"/>
      <c r="T155" s="268">
        <f t="shared" si="18"/>
        <v>0</v>
      </c>
      <c r="U155" s="266"/>
      <c r="V155" s="266" t="s">
        <v>116</v>
      </c>
      <c r="W155" s="266"/>
      <c r="X155" s="266"/>
      <c r="Y155" s="266"/>
      <c r="Z155" s="266"/>
      <c r="AA155" s="266"/>
      <c r="AB155" s="266"/>
      <c r="AC155" s="266"/>
      <c r="AD155" s="266"/>
      <c r="AE155" s="266">
        <f t="shared" si="19"/>
        <v>-175</v>
      </c>
      <c r="AF155" s="269">
        <v>2.4</v>
      </c>
      <c r="AG155" s="269"/>
      <c r="AH155" s="270">
        <v>166</v>
      </c>
      <c r="AI155" s="270"/>
      <c r="AJ155" s="193" t="s">
        <v>117</v>
      </c>
      <c r="AK155" s="193">
        <v>2007</v>
      </c>
      <c r="AL155" s="193">
        <v>2013</v>
      </c>
      <c r="AM155" s="271">
        <v>39104</v>
      </c>
      <c r="AN155" s="271"/>
      <c r="AO155" s="272"/>
      <c r="AP155" s="272">
        <v>40145</v>
      </c>
      <c r="AQ155" s="272"/>
      <c r="AR155" s="272"/>
      <c r="AS155" s="272"/>
      <c r="AT155" s="272"/>
      <c r="AU155" s="310"/>
      <c r="AV155" s="310" t="s">
        <v>70</v>
      </c>
      <c r="AW155" s="308" t="s">
        <v>70</v>
      </c>
      <c r="AX155" s="272"/>
      <c r="AY155" s="193"/>
      <c r="AZ155" s="272">
        <v>40660</v>
      </c>
      <c r="BA155" s="272"/>
      <c r="BB155" s="272">
        <v>40731</v>
      </c>
      <c r="BC155" s="272"/>
      <c r="BD155" s="272">
        <v>41348</v>
      </c>
      <c r="BE155" s="272"/>
      <c r="BF155" s="272"/>
      <c r="BG155" s="323"/>
      <c r="BH155" s="285" t="s">
        <v>1536</v>
      </c>
    </row>
    <row r="156" spans="1:60" s="184" customFormat="1" ht="20.100000000000001" customHeight="1">
      <c r="A156" s="190">
        <v>151</v>
      </c>
      <c r="B156" s="193" t="s">
        <v>269</v>
      </c>
      <c r="C156" s="192" t="s">
        <v>68</v>
      </c>
      <c r="D156" s="192" t="s">
        <v>112</v>
      </c>
      <c r="E156" s="192" t="s">
        <v>374</v>
      </c>
      <c r="F156" s="192" t="s">
        <v>375</v>
      </c>
      <c r="G156" s="266">
        <v>12861</v>
      </c>
      <c r="H156" s="193">
        <v>1986</v>
      </c>
      <c r="I156" s="266">
        <v>31</v>
      </c>
      <c r="J156" s="266">
        <f t="shared" si="17"/>
        <v>134</v>
      </c>
      <c r="K156" s="266">
        <v>134</v>
      </c>
      <c r="L156" s="279" t="s">
        <v>115</v>
      </c>
      <c r="M156" s="266"/>
      <c r="N156" s="266"/>
      <c r="O156" s="266"/>
      <c r="P156" s="268"/>
      <c r="Q156" s="268"/>
      <c r="R156" s="268"/>
      <c r="S156" s="268"/>
      <c r="T156" s="268">
        <f t="shared" si="18"/>
        <v>0</v>
      </c>
      <c r="U156" s="266"/>
      <c r="V156" s="266" t="s">
        <v>116</v>
      </c>
      <c r="W156" s="266"/>
      <c r="X156" s="266"/>
      <c r="Y156" s="266"/>
      <c r="Z156" s="266"/>
      <c r="AA156" s="266"/>
      <c r="AB156" s="266"/>
      <c r="AC156" s="266"/>
      <c r="AD156" s="266"/>
      <c r="AE156" s="266">
        <f t="shared" si="19"/>
        <v>-134</v>
      </c>
      <c r="AF156" s="269">
        <v>2.4</v>
      </c>
      <c r="AG156" s="269"/>
      <c r="AH156" s="270">
        <v>124</v>
      </c>
      <c r="AI156" s="270"/>
      <c r="AJ156" s="193" t="s">
        <v>117</v>
      </c>
      <c r="AK156" s="193">
        <v>2007</v>
      </c>
      <c r="AL156" s="193">
        <v>2013</v>
      </c>
      <c r="AM156" s="271">
        <v>39104</v>
      </c>
      <c r="AN156" s="271"/>
      <c r="AO156" s="272"/>
      <c r="AP156" s="272">
        <v>40145</v>
      </c>
      <c r="AQ156" s="272"/>
      <c r="AR156" s="272"/>
      <c r="AS156" s="272"/>
      <c r="AT156" s="272"/>
      <c r="AU156" s="310"/>
      <c r="AV156" s="310" t="s">
        <v>70</v>
      </c>
      <c r="AW156" s="308" t="s">
        <v>70</v>
      </c>
      <c r="AX156" s="272"/>
      <c r="AY156" s="193"/>
      <c r="AZ156" s="272">
        <v>40660</v>
      </c>
      <c r="BA156" s="272"/>
      <c r="BB156" s="272">
        <v>40731</v>
      </c>
      <c r="BC156" s="272"/>
      <c r="BD156" s="272">
        <v>41348</v>
      </c>
      <c r="BE156" s="272"/>
      <c r="BF156" s="272"/>
      <c r="BG156" s="323"/>
      <c r="BH156" s="285" t="s">
        <v>1536</v>
      </c>
    </row>
    <row r="157" spans="1:60" s="78" customFormat="1" ht="20.100000000000001" customHeight="1">
      <c r="A157" s="190">
        <v>152</v>
      </c>
      <c r="B157" s="193" t="s">
        <v>376</v>
      </c>
      <c r="C157" s="192" t="s">
        <v>72</v>
      </c>
      <c r="D157" s="192" t="s">
        <v>73</v>
      </c>
      <c r="E157" s="192" t="s">
        <v>377</v>
      </c>
      <c r="F157" s="192" t="s">
        <v>378</v>
      </c>
      <c r="G157" s="266">
        <v>14774</v>
      </c>
      <c r="H157" s="193">
        <v>1984</v>
      </c>
      <c r="I157" s="266">
        <v>5</v>
      </c>
      <c r="J157" s="266">
        <f t="shared" ref="J157:J173" si="20">SUM(K157:O157)</f>
        <v>224</v>
      </c>
      <c r="K157" s="266"/>
      <c r="L157" s="266"/>
      <c r="M157" s="266">
        <v>224</v>
      </c>
      <c r="N157" s="266"/>
      <c r="O157" s="266"/>
      <c r="P157" s="268"/>
      <c r="Q157" s="268"/>
      <c r="R157" s="268"/>
      <c r="S157" s="268"/>
      <c r="T157" s="268">
        <f t="shared" ref="T157:T178" si="21">U157+AA157</f>
        <v>0</v>
      </c>
      <c r="U157" s="266"/>
      <c r="V157" s="266"/>
      <c r="W157" s="266"/>
      <c r="X157" s="266"/>
      <c r="Y157" s="266"/>
      <c r="Z157" s="266"/>
      <c r="AA157" s="266"/>
      <c r="AB157" s="266"/>
      <c r="AC157" s="266"/>
      <c r="AD157" s="266"/>
      <c r="AE157" s="266">
        <f t="shared" ref="AE157:AE210" si="22">T157-J157</f>
        <v>-224</v>
      </c>
      <c r="AF157" s="269"/>
      <c r="AG157" s="269">
        <v>2.2999999999999998</v>
      </c>
      <c r="AH157" s="270"/>
      <c r="AI157" s="270"/>
      <c r="AJ157" s="193"/>
      <c r="AK157" s="193">
        <v>2018</v>
      </c>
      <c r="AL157" s="193">
        <v>2030</v>
      </c>
      <c r="AM157" s="271">
        <v>43080</v>
      </c>
      <c r="AN157" s="271">
        <v>43465</v>
      </c>
      <c r="AO157" s="272" t="s">
        <v>100</v>
      </c>
      <c r="AP157" s="272"/>
      <c r="AQ157" s="272"/>
      <c r="AR157" s="272"/>
      <c r="AS157" s="272">
        <v>43165</v>
      </c>
      <c r="AT157" s="192">
        <v>2024</v>
      </c>
      <c r="AU157" s="314">
        <v>45350</v>
      </c>
      <c r="AV157" s="314" t="s">
        <v>79</v>
      </c>
      <c r="AW157" s="274" t="s">
        <v>70</v>
      </c>
      <c r="AX157" s="272"/>
      <c r="AY157" s="272"/>
      <c r="AZ157" s="272"/>
      <c r="BA157" s="272"/>
      <c r="BB157" s="272"/>
      <c r="BC157" s="272"/>
      <c r="BD157" s="272"/>
      <c r="BE157" s="272"/>
      <c r="BF157" s="272"/>
      <c r="BG157" s="323"/>
      <c r="BH157" s="285" t="s">
        <v>1538</v>
      </c>
    </row>
    <row r="158" spans="1:60" s="78" customFormat="1" ht="20.100000000000001" customHeight="1">
      <c r="A158" s="190">
        <v>153</v>
      </c>
      <c r="B158" s="193" t="s">
        <v>376</v>
      </c>
      <c r="C158" s="192" t="s">
        <v>72</v>
      </c>
      <c r="D158" s="192" t="s">
        <v>73</v>
      </c>
      <c r="E158" s="192" t="s">
        <v>379</v>
      </c>
      <c r="F158" s="192" t="s">
        <v>380</v>
      </c>
      <c r="G158" s="266">
        <v>22225</v>
      </c>
      <c r="H158" s="193">
        <v>1984</v>
      </c>
      <c r="I158" s="266">
        <v>5</v>
      </c>
      <c r="J158" s="266">
        <f t="shared" si="20"/>
        <v>463</v>
      </c>
      <c r="K158" s="266"/>
      <c r="L158" s="266"/>
      <c r="M158" s="266">
        <v>463</v>
      </c>
      <c r="N158" s="266"/>
      <c r="O158" s="266"/>
      <c r="P158" s="268"/>
      <c r="Q158" s="268"/>
      <c r="R158" s="268"/>
      <c r="S158" s="268"/>
      <c r="T158" s="268">
        <f t="shared" si="21"/>
        <v>0</v>
      </c>
      <c r="U158" s="266"/>
      <c r="V158" s="266"/>
      <c r="W158" s="266"/>
      <c r="X158" s="266"/>
      <c r="Y158" s="266"/>
      <c r="Z158" s="266"/>
      <c r="AA158" s="266"/>
      <c r="AB158" s="266"/>
      <c r="AC158" s="266"/>
      <c r="AD158" s="266"/>
      <c r="AE158" s="266">
        <f t="shared" si="22"/>
        <v>-463</v>
      </c>
      <c r="AF158" s="269"/>
      <c r="AG158" s="269">
        <v>2.2799999999999998</v>
      </c>
      <c r="AH158" s="270"/>
      <c r="AI158" s="270"/>
      <c r="AJ158" s="193"/>
      <c r="AK158" s="193">
        <v>2018</v>
      </c>
      <c r="AL158" s="193">
        <v>2030</v>
      </c>
      <c r="AM158" s="271">
        <v>43080</v>
      </c>
      <c r="AN158" s="271">
        <v>43465</v>
      </c>
      <c r="AO158" s="272" t="s">
        <v>100</v>
      </c>
      <c r="AP158" s="272"/>
      <c r="AQ158" s="272"/>
      <c r="AR158" s="272"/>
      <c r="AS158" s="275">
        <v>45447</v>
      </c>
      <c r="AT158" s="192">
        <v>2025</v>
      </c>
      <c r="AU158" s="314"/>
      <c r="AV158" s="314" t="s">
        <v>70</v>
      </c>
      <c r="AW158" s="274" t="s">
        <v>70</v>
      </c>
      <c r="AX158" s="272"/>
      <c r="AY158" s="272"/>
      <c r="AZ158" s="272"/>
      <c r="BA158" s="272"/>
      <c r="BB158" s="272"/>
      <c r="BC158" s="272"/>
      <c r="BD158" s="272"/>
      <c r="BE158" s="272"/>
      <c r="BF158" s="272"/>
      <c r="BG158" s="323"/>
      <c r="BH158" s="285" t="s">
        <v>1539</v>
      </c>
    </row>
    <row r="159" spans="1:60" s="78" customFormat="1" ht="20.100000000000001" customHeight="1">
      <c r="A159" s="190">
        <v>154</v>
      </c>
      <c r="B159" s="193" t="s">
        <v>376</v>
      </c>
      <c r="C159" s="192" t="s">
        <v>72</v>
      </c>
      <c r="D159" s="192" t="s">
        <v>73</v>
      </c>
      <c r="E159" s="192" t="s">
        <v>381</v>
      </c>
      <c r="F159" s="192" t="s">
        <v>382</v>
      </c>
      <c r="G159" s="266">
        <v>29174</v>
      </c>
      <c r="H159" s="193">
        <v>1988</v>
      </c>
      <c r="I159" s="266">
        <v>6</v>
      </c>
      <c r="J159" s="266">
        <f t="shared" si="20"/>
        <v>495</v>
      </c>
      <c r="K159" s="266"/>
      <c r="L159" s="266"/>
      <c r="M159" s="266">
        <v>495</v>
      </c>
      <c r="N159" s="266"/>
      <c r="O159" s="266"/>
      <c r="P159" s="268"/>
      <c r="Q159" s="268"/>
      <c r="R159" s="268"/>
      <c r="S159" s="268"/>
      <c r="T159" s="268">
        <f t="shared" si="21"/>
        <v>0</v>
      </c>
      <c r="U159" s="266"/>
      <c r="V159" s="266"/>
      <c r="W159" s="266"/>
      <c r="X159" s="266"/>
      <c r="Y159" s="266"/>
      <c r="Z159" s="266"/>
      <c r="AA159" s="266"/>
      <c r="AB159" s="266"/>
      <c r="AC159" s="266"/>
      <c r="AD159" s="266"/>
      <c r="AE159" s="266">
        <f t="shared" si="22"/>
        <v>-495</v>
      </c>
      <c r="AF159" s="269"/>
      <c r="AG159" s="269">
        <v>2.19</v>
      </c>
      <c r="AH159" s="270"/>
      <c r="AI159" s="270"/>
      <c r="AJ159" s="193"/>
      <c r="AK159" s="193">
        <v>2018</v>
      </c>
      <c r="AL159" s="193">
        <v>2030</v>
      </c>
      <c r="AM159" s="271">
        <v>43080</v>
      </c>
      <c r="AN159" s="271">
        <v>43465</v>
      </c>
      <c r="AO159" s="272" t="s">
        <v>100</v>
      </c>
      <c r="AP159" s="272"/>
      <c r="AQ159" s="272"/>
      <c r="AR159" s="272"/>
      <c r="AS159" s="272">
        <v>44336</v>
      </c>
      <c r="AT159" s="192">
        <v>2024</v>
      </c>
      <c r="AU159" s="314"/>
      <c r="AV159" s="314" t="s">
        <v>70</v>
      </c>
      <c r="AW159" s="274" t="s">
        <v>70</v>
      </c>
      <c r="AX159" s="272"/>
      <c r="AY159" s="272"/>
      <c r="AZ159" s="272"/>
      <c r="BA159" s="272"/>
      <c r="BB159" s="272"/>
      <c r="BC159" s="272"/>
      <c r="BD159" s="272"/>
      <c r="BE159" s="272"/>
      <c r="BF159" s="272"/>
      <c r="BG159" s="323"/>
      <c r="BH159" s="285" t="s">
        <v>1539</v>
      </c>
    </row>
    <row r="160" spans="1:60" s="78" customFormat="1" ht="20.100000000000001" customHeight="1">
      <c r="A160" s="190">
        <v>155</v>
      </c>
      <c r="B160" s="193" t="s">
        <v>376</v>
      </c>
      <c r="C160" s="192" t="s">
        <v>72</v>
      </c>
      <c r="D160" s="192" t="s">
        <v>73</v>
      </c>
      <c r="E160" s="192" t="s">
        <v>383</v>
      </c>
      <c r="F160" s="192" t="s">
        <v>384</v>
      </c>
      <c r="G160" s="266">
        <v>40377</v>
      </c>
      <c r="H160" s="193">
        <v>1984</v>
      </c>
      <c r="I160" s="266">
        <v>9</v>
      </c>
      <c r="J160" s="266">
        <f t="shared" si="20"/>
        <v>916</v>
      </c>
      <c r="K160" s="266"/>
      <c r="L160" s="266"/>
      <c r="M160" s="266">
        <v>916</v>
      </c>
      <c r="N160" s="266"/>
      <c r="O160" s="266"/>
      <c r="P160" s="268"/>
      <c r="Q160" s="268"/>
      <c r="R160" s="268"/>
      <c r="S160" s="268"/>
      <c r="T160" s="268">
        <f t="shared" si="21"/>
        <v>0</v>
      </c>
      <c r="U160" s="266"/>
      <c r="V160" s="266"/>
      <c r="W160" s="266"/>
      <c r="X160" s="266"/>
      <c r="Y160" s="266"/>
      <c r="Z160" s="266"/>
      <c r="AA160" s="266"/>
      <c r="AB160" s="266"/>
      <c r="AC160" s="266"/>
      <c r="AD160" s="266"/>
      <c r="AE160" s="266">
        <f t="shared" si="22"/>
        <v>-916</v>
      </c>
      <c r="AF160" s="269"/>
      <c r="AG160" s="269">
        <v>2.2999999999999998</v>
      </c>
      <c r="AH160" s="270"/>
      <c r="AI160" s="270"/>
      <c r="AJ160" s="193"/>
      <c r="AK160" s="193">
        <v>2018</v>
      </c>
      <c r="AL160" s="193">
        <v>2030</v>
      </c>
      <c r="AM160" s="271">
        <v>43080</v>
      </c>
      <c r="AN160" s="271">
        <v>43465</v>
      </c>
      <c r="AO160" s="272" t="s">
        <v>100</v>
      </c>
      <c r="AP160" s="272"/>
      <c r="AQ160" s="272"/>
      <c r="AR160" s="272"/>
      <c r="AS160" s="272">
        <v>45001</v>
      </c>
      <c r="AT160" s="192">
        <v>2023</v>
      </c>
      <c r="AU160" s="314">
        <v>45370</v>
      </c>
      <c r="AV160" s="314" t="s">
        <v>79</v>
      </c>
      <c r="AW160" s="274" t="s">
        <v>70</v>
      </c>
      <c r="AX160" s="272"/>
      <c r="AY160" s="272"/>
      <c r="AZ160" s="272"/>
      <c r="BA160" s="272"/>
      <c r="BB160" s="272"/>
      <c r="BC160" s="272"/>
      <c r="BD160" s="272"/>
      <c r="BE160" s="272"/>
      <c r="BF160" s="272"/>
      <c r="BG160" s="323"/>
      <c r="BH160" s="285" t="s">
        <v>1539</v>
      </c>
    </row>
    <row r="161" spans="1:60" s="78" customFormat="1" ht="20.100000000000001" customHeight="1">
      <c r="A161" s="190">
        <v>156</v>
      </c>
      <c r="B161" s="193" t="s">
        <v>376</v>
      </c>
      <c r="C161" s="192" t="s">
        <v>72</v>
      </c>
      <c r="D161" s="192" t="s">
        <v>73</v>
      </c>
      <c r="E161" s="192" t="s">
        <v>385</v>
      </c>
      <c r="F161" s="192" t="s">
        <v>386</v>
      </c>
      <c r="G161" s="266">
        <v>17767</v>
      </c>
      <c r="H161" s="193">
        <v>1985</v>
      </c>
      <c r="I161" s="266">
        <v>5</v>
      </c>
      <c r="J161" s="266">
        <f t="shared" si="20"/>
        <v>380</v>
      </c>
      <c r="K161" s="266"/>
      <c r="L161" s="266"/>
      <c r="M161" s="266">
        <v>380</v>
      </c>
      <c r="N161" s="266"/>
      <c r="O161" s="266"/>
      <c r="P161" s="268"/>
      <c r="Q161" s="268"/>
      <c r="R161" s="268"/>
      <c r="S161" s="268"/>
      <c r="T161" s="268">
        <f t="shared" si="21"/>
        <v>0</v>
      </c>
      <c r="U161" s="266"/>
      <c r="V161" s="266"/>
      <c r="W161" s="266"/>
      <c r="X161" s="266"/>
      <c r="Y161" s="266"/>
      <c r="Z161" s="266"/>
      <c r="AA161" s="266"/>
      <c r="AB161" s="266"/>
      <c r="AC161" s="266"/>
      <c r="AD161" s="266"/>
      <c r="AE161" s="266">
        <f t="shared" si="22"/>
        <v>-380</v>
      </c>
      <c r="AF161" s="269"/>
      <c r="AG161" s="269">
        <v>2.2400000000000002</v>
      </c>
      <c r="AH161" s="270"/>
      <c r="AI161" s="270"/>
      <c r="AJ161" s="193"/>
      <c r="AK161" s="193">
        <v>2019</v>
      </c>
      <c r="AL161" s="193">
        <v>2030</v>
      </c>
      <c r="AM161" s="271">
        <v>43080</v>
      </c>
      <c r="AN161" s="271">
        <v>43830</v>
      </c>
      <c r="AO161" s="272" t="s">
        <v>100</v>
      </c>
      <c r="AP161" s="272"/>
      <c r="AQ161" s="272"/>
      <c r="AR161" s="272"/>
      <c r="AS161" s="272">
        <v>45006</v>
      </c>
      <c r="AT161" s="192">
        <v>2024</v>
      </c>
      <c r="AU161" s="314"/>
      <c r="AV161" s="314" t="s">
        <v>70</v>
      </c>
      <c r="AW161" s="274" t="s">
        <v>70</v>
      </c>
      <c r="AX161" s="272"/>
      <c r="AY161" s="272"/>
      <c r="AZ161" s="272"/>
      <c r="BA161" s="272"/>
      <c r="BB161" s="272"/>
      <c r="BC161" s="272"/>
      <c r="BD161" s="272"/>
      <c r="BE161" s="272"/>
      <c r="BF161" s="272"/>
      <c r="BG161" s="323"/>
      <c r="BH161" s="285" t="s">
        <v>1539</v>
      </c>
    </row>
    <row r="162" spans="1:60" s="78" customFormat="1" ht="20.100000000000001" customHeight="1">
      <c r="A162" s="190">
        <v>157</v>
      </c>
      <c r="B162" s="193" t="s">
        <v>376</v>
      </c>
      <c r="C162" s="192" t="s">
        <v>72</v>
      </c>
      <c r="D162" s="192" t="s">
        <v>73</v>
      </c>
      <c r="E162" s="192" t="s">
        <v>387</v>
      </c>
      <c r="F162" s="192" t="s">
        <v>388</v>
      </c>
      <c r="G162" s="266">
        <v>19064</v>
      </c>
      <c r="H162" s="193" t="s">
        <v>389</v>
      </c>
      <c r="I162" s="266">
        <v>9</v>
      </c>
      <c r="J162" s="266">
        <f t="shared" si="20"/>
        <v>338</v>
      </c>
      <c r="K162" s="266"/>
      <c r="L162" s="266"/>
      <c r="M162" s="266">
        <v>338</v>
      </c>
      <c r="N162" s="266"/>
      <c r="O162" s="266"/>
      <c r="P162" s="268"/>
      <c r="Q162" s="268"/>
      <c r="R162" s="268"/>
      <c r="S162" s="268"/>
      <c r="T162" s="268">
        <f t="shared" si="21"/>
        <v>0</v>
      </c>
      <c r="U162" s="266"/>
      <c r="V162" s="266"/>
      <c r="W162" s="266"/>
      <c r="X162" s="266"/>
      <c r="Y162" s="266"/>
      <c r="Z162" s="266"/>
      <c r="AA162" s="266"/>
      <c r="AB162" s="266"/>
      <c r="AC162" s="266"/>
      <c r="AD162" s="266"/>
      <c r="AE162" s="266">
        <f t="shared" si="22"/>
        <v>-338</v>
      </c>
      <c r="AF162" s="269"/>
      <c r="AG162" s="269">
        <v>2.2999999999999998</v>
      </c>
      <c r="AH162" s="270"/>
      <c r="AI162" s="270"/>
      <c r="AJ162" s="193"/>
      <c r="AK162" s="193">
        <v>2019</v>
      </c>
      <c r="AL162" s="193">
        <v>2030</v>
      </c>
      <c r="AM162" s="271">
        <v>43080</v>
      </c>
      <c r="AN162" s="271">
        <v>43830</v>
      </c>
      <c r="AO162" s="272" t="s">
        <v>100</v>
      </c>
      <c r="AP162" s="272"/>
      <c r="AQ162" s="272"/>
      <c r="AR162" s="272"/>
      <c r="AS162" s="272"/>
      <c r="AT162" s="272"/>
      <c r="AU162" s="314"/>
      <c r="AV162" s="314" t="s">
        <v>70</v>
      </c>
      <c r="AW162" s="274" t="s">
        <v>70</v>
      </c>
      <c r="AX162" s="272"/>
      <c r="AY162" s="272"/>
      <c r="AZ162" s="272"/>
      <c r="BA162" s="272"/>
      <c r="BB162" s="272"/>
      <c r="BC162" s="272"/>
      <c r="BD162" s="272"/>
      <c r="BE162" s="272"/>
      <c r="BF162" s="272"/>
      <c r="BG162" s="323"/>
      <c r="BH162" s="285" t="s">
        <v>1538</v>
      </c>
    </row>
    <row r="163" spans="1:60" s="78" customFormat="1" ht="20.100000000000001" customHeight="1">
      <c r="A163" s="190">
        <v>158</v>
      </c>
      <c r="B163" s="193" t="s">
        <v>376</v>
      </c>
      <c r="C163" s="192" t="s">
        <v>72</v>
      </c>
      <c r="D163" s="192" t="s">
        <v>73</v>
      </c>
      <c r="E163" s="192" t="s">
        <v>390</v>
      </c>
      <c r="F163" s="192" t="s">
        <v>391</v>
      </c>
      <c r="G163" s="266">
        <v>12177</v>
      </c>
      <c r="H163" s="193">
        <v>1987</v>
      </c>
      <c r="I163" s="266">
        <v>3</v>
      </c>
      <c r="J163" s="266">
        <f t="shared" si="20"/>
        <v>250</v>
      </c>
      <c r="K163" s="266"/>
      <c r="L163" s="266"/>
      <c r="M163" s="266">
        <v>250</v>
      </c>
      <c r="N163" s="266"/>
      <c r="O163" s="266"/>
      <c r="P163" s="268"/>
      <c r="Q163" s="268"/>
      <c r="R163" s="268"/>
      <c r="S163" s="268"/>
      <c r="T163" s="268">
        <f t="shared" si="21"/>
        <v>0</v>
      </c>
      <c r="U163" s="266"/>
      <c r="V163" s="266"/>
      <c r="W163" s="266"/>
      <c r="X163" s="266"/>
      <c r="Y163" s="266"/>
      <c r="Z163" s="266"/>
      <c r="AA163" s="266"/>
      <c r="AB163" s="266"/>
      <c r="AC163" s="266"/>
      <c r="AD163" s="266"/>
      <c r="AE163" s="266">
        <f t="shared" si="22"/>
        <v>-250</v>
      </c>
      <c r="AF163" s="269"/>
      <c r="AG163" s="269">
        <v>2.2999999999999998</v>
      </c>
      <c r="AH163" s="270"/>
      <c r="AI163" s="270"/>
      <c r="AJ163" s="193"/>
      <c r="AK163" s="193">
        <v>2020</v>
      </c>
      <c r="AL163" s="193">
        <v>2030</v>
      </c>
      <c r="AM163" s="271">
        <v>43080</v>
      </c>
      <c r="AN163" s="271">
        <v>44196</v>
      </c>
      <c r="AO163" s="272" t="s">
        <v>100</v>
      </c>
      <c r="AP163" s="272"/>
      <c r="AQ163" s="272"/>
      <c r="AR163" s="272"/>
      <c r="AS163" s="272">
        <v>45082</v>
      </c>
      <c r="AT163" s="192">
        <v>2024</v>
      </c>
      <c r="AU163" s="314"/>
      <c r="AV163" s="314" t="s">
        <v>70</v>
      </c>
      <c r="AW163" s="274" t="s">
        <v>70</v>
      </c>
      <c r="AX163" s="272"/>
      <c r="AY163" s="272"/>
      <c r="AZ163" s="272"/>
      <c r="BA163" s="272"/>
      <c r="BB163" s="272"/>
      <c r="BC163" s="272"/>
      <c r="BD163" s="272"/>
      <c r="BE163" s="272"/>
      <c r="BF163" s="272"/>
      <c r="BG163" s="323"/>
      <c r="BH163" s="285" t="s">
        <v>1539</v>
      </c>
    </row>
    <row r="164" spans="1:60" s="78" customFormat="1" ht="20.100000000000001" customHeight="1">
      <c r="A164" s="190">
        <v>159</v>
      </c>
      <c r="B164" s="193" t="s">
        <v>376</v>
      </c>
      <c r="C164" s="192" t="s">
        <v>72</v>
      </c>
      <c r="D164" s="192" t="s">
        <v>73</v>
      </c>
      <c r="E164" s="192" t="s">
        <v>392</v>
      </c>
      <c r="F164" s="192" t="s">
        <v>393</v>
      </c>
      <c r="G164" s="266">
        <v>9435</v>
      </c>
      <c r="H164" s="193">
        <v>1988</v>
      </c>
      <c r="I164" s="266">
        <v>3</v>
      </c>
      <c r="J164" s="266">
        <f t="shared" si="20"/>
        <v>264</v>
      </c>
      <c r="K164" s="266"/>
      <c r="L164" s="266"/>
      <c r="M164" s="266">
        <v>264</v>
      </c>
      <c r="N164" s="266"/>
      <c r="O164" s="266"/>
      <c r="P164" s="268"/>
      <c r="Q164" s="268"/>
      <c r="R164" s="268"/>
      <c r="S164" s="268"/>
      <c r="T164" s="268">
        <f t="shared" si="21"/>
        <v>0</v>
      </c>
      <c r="U164" s="266"/>
      <c r="V164" s="266"/>
      <c r="W164" s="266"/>
      <c r="X164" s="266"/>
      <c r="Y164" s="266"/>
      <c r="Z164" s="266"/>
      <c r="AA164" s="266"/>
      <c r="AB164" s="266"/>
      <c r="AC164" s="266"/>
      <c r="AD164" s="266"/>
      <c r="AE164" s="266">
        <f t="shared" si="22"/>
        <v>-264</v>
      </c>
      <c r="AF164" s="269"/>
      <c r="AG164" s="269">
        <v>2.8</v>
      </c>
      <c r="AH164" s="270"/>
      <c r="AI164" s="270"/>
      <c r="AJ164" s="193"/>
      <c r="AK164" s="193">
        <v>2020</v>
      </c>
      <c r="AL164" s="193">
        <v>2030</v>
      </c>
      <c r="AM164" s="271">
        <v>43080</v>
      </c>
      <c r="AN164" s="271">
        <v>44196</v>
      </c>
      <c r="AO164" s="272" t="s">
        <v>100</v>
      </c>
      <c r="AP164" s="272"/>
      <c r="AQ164" s="272"/>
      <c r="AR164" s="272"/>
      <c r="AS164" s="272"/>
      <c r="AT164" s="272"/>
      <c r="AU164" s="314"/>
      <c r="AV164" s="314" t="s">
        <v>70</v>
      </c>
      <c r="AW164" s="274" t="s">
        <v>70</v>
      </c>
      <c r="AX164" s="272"/>
      <c r="AY164" s="272"/>
      <c r="AZ164" s="272"/>
      <c r="BA164" s="272"/>
      <c r="BB164" s="272"/>
      <c r="BC164" s="272"/>
      <c r="BD164" s="272"/>
      <c r="BE164" s="272"/>
      <c r="BF164" s="272"/>
      <c r="BG164" s="323"/>
      <c r="BH164" s="285" t="s">
        <v>1539</v>
      </c>
    </row>
    <row r="165" spans="1:60" s="78" customFormat="1" ht="20.100000000000001" customHeight="1">
      <c r="A165" s="190">
        <v>160</v>
      </c>
      <c r="B165" s="193" t="s">
        <v>376</v>
      </c>
      <c r="C165" s="192" t="s">
        <v>72</v>
      </c>
      <c r="D165" s="192" t="s">
        <v>73</v>
      </c>
      <c r="E165" s="192" t="s">
        <v>394</v>
      </c>
      <c r="F165" s="192" t="s">
        <v>395</v>
      </c>
      <c r="G165" s="266">
        <v>15363</v>
      </c>
      <c r="H165" s="193">
        <v>1988</v>
      </c>
      <c r="I165" s="266">
        <v>7</v>
      </c>
      <c r="J165" s="266">
        <f t="shared" si="20"/>
        <v>290</v>
      </c>
      <c r="K165" s="266"/>
      <c r="L165" s="266"/>
      <c r="M165" s="266">
        <v>290</v>
      </c>
      <c r="N165" s="266"/>
      <c r="O165" s="266"/>
      <c r="P165" s="268"/>
      <c r="Q165" s="268"/>
      <c r="R165" s="268"/>
      <c r="S165" s="268"/>
      <c r="T165" s="268">
        <f t="shared" si="21"/>
        <v>0</v>
      </c>
      <c r="U165" s="266"/>
      <c r="V165" s="266"/>
      <c r="W165" s="266"/>
      <c r="X165" s="266"/>
      <c r="Y165" s="266"/>
      <c r="Z165" s="266"/>
      <c r="AA165" s="266"/>
      <c r="AB165" s="266"/>
      <c r="AC165" s="266"/>
      <c r="AD165" s="266"/>
      <c r="AE165" s="266">
        <f t="shared" si="22"/>
        <v>-290</v>
      </c>
      <c r="AF165" s="269"/>
      <c r="AG165" s="269">
        <v>2.2999999999999998</v>
      </c>
      <c r="AH165" s="270"/>
      <c r="AI165" s="270"/>
      <c r="AJ165" s="193"/>
      <c r="AK165" s="193">
        <v>2020</v>
      </c>
      <c r="AL165" s="193">
        <v>2030</v>
      </c>
      <c r="AM165" s="271">
        <v>43080</v>
      </c>
      <c r="AN165" s="271">
        <v>44196</v>
      </c>
      <c r="AO165" s="272" t="s">
        <v>100</v>
      </c>
      <c r="AP165" s="272"/>
      <c r="AQ165" s="272"/>
      <c r="AR165" s="272"/>
      <c r="AS165" s="272">
        <v>45621</v>
      </c>
      <c r="AT165" s="272"/>
      <c r="AU165" s="314"/>
      <c r="AV165" s="314" t="s">
        <v>70</v>
      </c>
      <c r="AW165" s="274" t="s">
        <v>70</v>
      </c>
      <c r="AX165" s="272"/>
      <c r="AY165" s="272"/>
      <c r="AZ165" s="272"/>
      <c r="BA165" s="272"/>
      <c r="BB165" s="272"/>
      <c r="BC165" s="272"/>
      <c r="BD165" s="272"/>
      <c r="BE165" s="272"/>
      <c r="BF165" s="272"/>
      <c r="BG165" s="323"/>
      <c r="BH165" s="285" t="s">
        <v>1540</v>
      </c>
    </row>
    <row r="166" spans="1:60" s="78" customFormat="1" ht="20.100000000000001" customHeight="1">
      <c r="A166" s="190">
        <v>161</v>
      </c>
      <c r="B166" s="193" t="s">
        <v>376</v>
      </c>
      <c r="C166" s="192" t="s">
        <v>72</v>
      </c>
      <c r="D166" s="192" t="s">
        <v>73</v>
      </c>
      <c r="E166" s="192" t="s">
        <v>396</v>
      </c>
      <c r="F166" s="192" t="s">
        <v>397</v>
      </c>
      <c r="G166" s="266">
        <v>22373</v>
      </c>
      <c r="H166" s="193">
        <v>1988</v>
      </c>
      <c r="I166" s="266">
        <v>6</v>
      </c>
      <c r="J166" s="266">
        <f t="shared" si="20"/>
        <v>717</v>
      </c>
      <c r="K166" s="266"/>
      <c r="L166" s="266"/>
      <c r="M166" s="266">
        <v>717</v>
      </c>
      <c r="N166" s="266"/>
      <c r="O166" s="266"/>
      <c r="P166" s="268"/>
      <c r="Q166" s="268"/>
      <c r="R166" s="268"/>
      <c r="S166" s="268"/>
      <c r="T166" s="268">
        <f t="shared" si="21"/>
        <v>0</v>
      </c>
      <c r="U166" s="266"/>
      <c r="V166" s="266"/>
      <c r="W166" s="266"/>
      <c r="X166" s="266"/>
      <c r="Y166" s="266"/>
      <c r="Z166" s="266"/>
      <c r="AA166" s="266"/>
      <c r="AB166" s="266"/>
      <c r="AC166" s="266"/>
      <c r="AD166" s="266"/>
      <c r="AE166" s="266">
        <f t="shared" si="22"/>
        <v>-717</v>
      </c>
      <c r="AF166" s="269"/>
      <c r="AG166" s="269">
        <v>2.2999999999999998</v>
      </c>
      <c r="AH166" s="270"/>
      <c r="AI166" s="270"/>
      <c r="AJ166" s="193"/>
      <c r="AK166" s="193">
        <v>2020</v>
      </c>
      <c r="AL166" s="193">
        <v>2030</v>
      </c>
      <c r="AM166" s="271">
        <v>43080</v>
      </c>
      <c r="AN166" s="271">
        <v>44196</v>
      </c>
      <c r="AO166" s="272" t="s">
        <v>100</v>
      </c>
      <c r="AP166" s="272"/>
      <c r="AQ166" s="272"/>
      <c r="AR166" s="272"/>
      <c r="AS166" s="272">
        <v>45033</v>
      </c>
      <c r="AT166" s="192">
        <v>2024</v>
      </c>
      <c r="AU166" s="314"/>
      <c r="AV166" s="314" t="s">
        <v>70</v>
      </c>
      <c r="AW166" s="274" t="s">
        <v>70</v>
      </c>
      <c r="AX166" s="272"/>
      <c r="AY166" s="272"/>
      <c r="AZ166" s="272"/>
      <c r="BA166" s="272"/>
      <c r="BB166" s="272"/>
      <c r="BC166" s="272"/>
      <c r="BD166" s="272"/>
      <c r="BE166" s="272"/>
      <c r="BF166" s="272"/>
      <c r="BG166" s="323"/>
      <c r="BH166" s="285" t="s">
        <v>1539</v>
      </c>
    </row>
    <row r="167" spans="1:60" s="78" customFormat="1" ht="20.100000000000001" customHeight="1">
      <c r="A167" s="190">
        <v>162</v>
      </c>
      <c r="B167" s="193" t="s">
        <v>376</v>
      </c>
      <c r="C167" s="192" t="s">
        <v>72</v>
      </c>
      <c r="D167" s="192" t="s">
        <v>73</v>
      </c>
      <c r="E167" s="192" t="s">
        <v>398</v>
      </c>
      <c r="F167" s="192" t="s">
        <v>399</v>
      </c>
      <c r="G167" s="266">
        <v>25419</v>
      </c>
      <c r="H167" s="193">
        <v>1988</v>
      </c>
      <c r="I167" s="266">
        <v>13</v>
      </c>
      <c r="J167" s="266">
        <f t="shared" si="20"/>
        <v>490</v>
      </c>
      <c r="K167" s="266"/>
      <c r="L167" s="266"/>
      <c r="M167" s="266">
        <v>490</v>
      </c>
      <c r="N167" s="266"/>
      <c r="O167" s="266"/>
      <c r="P167" s="268"/>
      <c r="Q167" s="268"/>
      <c r="R167" s="268"/>
      <c r="S167" s="268"/>
      <c r="T167" s="268">
        <f t="shared" si="21"/>
        <v>0</v>
      </c>
      <c r="U167" s="266"/>
      <c r="V167" s="266"/>
      <c r="W167" s="266"/>
      <c r="X167" s="266"/>
      <c r="Y167" s="266"/>
      <c r="Z167" s="266"/>
      <c r="AA167" s="266"/>
      <c r="AB167" s="266"/>
      <c r="AC167" s="266"/>
      <c r="AD167" s="266"/>
      <c r="AE167" s="266">
        <f t="shared" si="22"/>
        <v>-490</v>
      </c>
      <c r="AF167" s="269"/>
      <c r="AG167" s="269">
        <v>2.2999999999999998</v>
      </c>
      <c r="AH167" s="270"/>
      <c r="AI167" s="270"/>
      <c r="AJ167" s="193"/>
      <c r="AK167" s="193">
        <v>2020</v>
      </c>
      <c r="AL167" s="193">
        <v>2030</v>
      </c>
      <c r="AM167" s="271">
        <v>43080</v>
      </c>
      <c r="AN167" s="271">
        <v>44196</v>
      </c>
      <c r="AO167" s="272" t="s">
        <v>100</v>
      </c>
      <c r="AP167" s="272"/>
      <c r="AQ167" s="272"/>
      <c r="AR167" s="272">
        <v>45926</v>
      </c>
      <c r="AS167" s="272">
        <v>45001</v>
      </c>
      <c r="AT167" s="272"/>
      <c r="AU167" s="314">
        <v>45643</v>
      </c>
      <c r="AV167" s="314" t="s">
        <v>79</v>
      </c>
      <c r="AW167" s="315" t="s">
        <v>298</v>
      </c>
      <c r="AX167" s="316" t="s">
        <v>400</v>
      </c>
      <c r="AY167" s="272"/>
      <c r="AZ167" s="272"/>
      <c r="BA167" s="272"/>
      <c r="BB167" s="272"/>
      <c r="BC167" s="272"/>
      <c r="BD167" s="272"/>
      <c r="BE167" s="272"/>
      <c r="BF167" s="272"/>
      <c r="BG167" s="323"/>
      <c r="BH167" s="285" t="s">
        <v>1540</v>
      </c>
    </row>
    <row r="168" spans="1:60" s="78" customFormat="1" ht="20.100000000000001" customHeight="1">
      <c r="A168" s="190">
        <v>163</v>
      </c>
      <c r="B168" s="193" t="s">
        <v>376</v>
      </c>
      <c r="C168" s="192" t="s">
        <v>72</v>
      </c>
      <c r="D168" s="192" t="s">
        <v>73</v>
      </c>
      <c r="E168" s="192" t="s">
        <v>401</v>
      </c>
      <c r="F168" s="192" t="s">
        <v>402</v>
      </c>
      <c r="G168" s="266">
        <v>14690</v>
      </c>
      <c r="H168" s="193">
        <v>1989</v>
      </c>
      <c r="I168" s="266">
        <v>6</v>
      </c>
      <c r="J168" s="266">
        <f t="shared" si="20"/>
        <v>340</v>
      </c>
      <c r="K168" s="266"/>
      <c r="L168" s="266"/>
      <c r="M168" s="266">
        <v>340</v>
      </c>
      <c r="N168" s="266"/>
      <c r="O168" s="266"/>
      <c r="P168" s="268"/>
      <c r="Q168" s="268"/>
      <c r="R168" s="268"/>
      <c r="S168" s="268"/>
      <c r="T168" s="268">
        <f t="shared" si="21"/>
        <v>0</v>
      </c>
      <c r="U168" s="266"/>
      <c r="V168" s="266"/>
      <c r="W168" s="266"/>
      <c r="X168" s="266"/>
      <c r="Y168" s="266"/>
      <c r="Z168" s="266"/>
      <c r="AA168" s="266"/>
      <c r="AB168" s="266"/>
      <c r="AC168" s="266"/>
      <c r="AD168" s="266"/>
      <c r="AE168" s="266">
        <f t="shared" si="22"/>
        <v>-340</v>
      </c>
      <c r="AF168" s="269"/>
      <c r="AG168" s="269">
        <v>2.2999999999999998</v>
      </c>
      <c r="AH168" s="270"/>
      <c r="AI168" s="270"/>
      <c r="AJ168" s="193"/>
      <c r="AK168" s="193">
        <v>2021</v>
      </c>
      <c r="AL168" s="193">
        <v>2030</v>
      </c>
      <c r="AM168" s="271">
        <v>43080</v>
      </c>
      <c r="AN168" s="271">
        <v>44561</v>
      </c>
      <c r="AO168" s="272" t="s">
        <v>100</v>
      </c>
      <c r="AP168" s="272"/>
      <c r="AQ168" s="272"/>
      <c r="AR168" s="272"/>
      <c r="AS168" s="272"/>
      <c r="AT168" s="272"/>
      <c r="AU168" s="314"/>
      <c r="AV168" s="314" t="s">
        <v>70</v>
      </c>
      <c r="AW168" s="274" t="s">
        <v>70</v>
      </c>
      <c r="AX168" s="272"/>
      <c r="AY168" s="272"/>
      <c r="AZ168" s="272"/>
      <c r="BA168" s="272"/>
      <c r="BB168" s="272"/>
      <c r="BC168" s="272"/>
      <c r="BD168" s="272"/>
      <c r="BE168" s="272"/>
      <c r="BF168" s="272"/>
      <c r="BG168" s="323"/>
      <c r="BH168" s="285" t="s">
        <v>1538</v>
      </c>
    </row>
    <row r="169" spans="1:60" s="78" customFormat="1" ht="20.100000000000001" customHeight="1">
      <c r="A169" s="190">
        <v>164</v>
      </c>
      <c r="B169" s="193" t="s">
        <v>376</v>
      </c>
      <c r="C169" s="192" t="s">
        <v>72</v>
      </c>
      <c r="D169" s="192" t="s">
        <v>73</v>
      </c>
      <c r="E169" s="192" t="s">
        <v>403</v>
      </c>
      <c r="F169" s="192" t="s">
        <v>404</v>
      </c>
      <c r="G169" s="266">
        <v>35064</v>
      </c>
      <c r="H169" s="193">
        <v>1989</v>
      </c>
      <c r="I169" s="266">
        <v>10</v>
      </c>
      <c r="J169" s="266">
        <f t="shared" si="20"/>
        <v>781</v>
      </c>
      <c r="K169" s="266"/>
      <c r="L169" s="266"/>
      <c r="M169" s="266">
        <v>781</v>
      </c>
      <c r="N169" s="266"/>
      <c r="O169" s="266"/>
      <c r="P169" s="268"/>
      <c r="Q169" s="268"/>
      <c r="R169" s="268"/>
      <c r="S169" s="268"/>
      <c r="T169" s="268">
        <f t="shared" si="21"/>
        <v>0</v>
      </c>
      <c r="U169" s="266"/>
      <c r="V169" s="266"/>
      <c r="W169" s="266"/>
      <c r="X169" s="266"/>
      <c r="Y169" s="266"/>
      <c r="Z169" s="266"/>
      <c r="AA169" s="266"/>
      <c r="AB169" s="266"/>
      <c r="AC169" s="266"/>
      <c r="AD169" s="266"/>
      <c r="AE169" s="266">
        <f t="shared" si="22"/>
        <v>-781</v>
      </c>
      <c r="AF169" s="269"/>
      <c r="AG169" s="269">
        <v>2.2999999999999998</v>
      </c>
      <c r="AH169" s="270"/>
      <c r="AI169" s="270"/>
      <c r="AJ169" s="193"/>
      <c r="AK169" s="193">
        <v>2021</v>
      </c>
      <c r="AL169" s="193">
        <v>2030</v>
      </c>
      <c r="AM169" s="271">
        <v>43080</v>
      </c>
      <c r="AN169" s="271">
        <v>44561</v>
      </c>
      <c r="AO169" s="272" t="s">
        <v>100</v>
      </c>
      <c r="AP169" s="272"/>
      <c r="AQ169" s="272"/>
      <c r="AR169" s="272"/>
      <c r="AS169" s="272">
        <v>45583</v>
      </c>
      <c r="AT169" s="272"/>
      <c r="AU169" s="314"/>
      <c r="AV169" s="314" t="s">
        <v>70</v>
      </c>
      <c r="AW169" s="274" t="s">
        <v>70</v>
      </c>
      <c r="AX169" s="272"/>
      <c r="AY169" s="272"/>
      <c r="AZ169" s="272"/>
      <c r="BA169" s="272"/>
      <c r="BB169" s="272"/>
      <c r="BC169" s="272"/>
      <c r="BD169" s="272"/>
      <c r="BE169" s="272"/>
      <c r="BF169" s="272"/>
      <c r="BG169" s="323"/>
      <c r="BH169" s="285" t="s">
        <v>1538</v>
      </c>
    </row>
    <row r="170" spans="1:60" s="78" customFormat="1" ht="20.100000000000001" customHeight="1">
      <c r="A170" s="190">
        <v>165</v>
      </c>
      <c r="B170" s="193" t="s">
        <v>376</v>
      </c>
      <c r="C170" s="192" t="s">
        <v>72</v>
      </c>
      <c r="D170" s="192" t="s">
        <v>73</v>
      </c>
      <c r="E170" s="192" t="s">
        <v>405</v>
      </c>
      <c r="F170" s="192" t="s">
        <v>406</v>
      </c>
      <c r="G170" s="266">
        <v>17590.599999999999</v>
      </c>
      <c r="H170" s="193">
        <v>1990</v>
      </c>
      <c r="I170" s="266">
        <v>6</v>
      </c>
      <c r="J170" s="266">
        <f t="shared" si="20"/>
        <v>280</v>
      </c>
      <c r="K170" s="266"/>
      <c r="L170" s="266"/>
      <c r="M170" s="266">
        <v>280</v>
      </c>
      <c r="N170" s="266"/>
      <c r="O170" s="266"/>
      <c r="P170" s="268"/>
      <c r="Q170" s="268"/>
      <c r="R170" s="268"/>
      <c r="S170" s="268"/>
      <c r="T170" s="268">
        <f t="shared" si="21"/>
        <v>0</v>
      </c>
      <c r="U170" s="266"/>
      <c r="V170" s="266"/>
      <c r="W170" s="266"/>
      <c r="X170" s="266"/>
      <c r="Y170" s="266"/>
      <c r="Z170" s="266"/>
      <c r="AA170" s="266"/>
      <c r="AB170" s="266"/>
      <c r="AC170" s="266"/>
      <c r="AD170" s="266"/>
      <c r="AE170" s="266">
        <f t="shared" si="22"/>
        <v>-280</v>
      </c>
      <c r="AF170" s="269"/>
      <c r="AG170" s="269">
        <v>2.2999999999999998</v>
      </c>
      <c r="AH170" s="270"/>
      <c r="AI170" s="270"/>
      <c r="AJ170" s="193"/>
      <c r="AK170" s="193">
        <v>2022</v>
      </c>
      <c r="AL170" s="193">
        <v>2030</v>
      </c>
      <c r="AM170" s="271">
        <v>43080</v>
      </c>
      <c r="AN170" s="271">
        <v>44926</v>
      </c>
      <c r="AO170" s="272" t="s">
        <v>100</v>
      </c>
      <c r="AP170" s="272"/>
      <c r="AQ170" s="272"/>
      <c r="AR170" s="272"/>
      <c r="AS170" s="272">
        <v>44678</v>
      </c>
      <c r="AT170" s="192">
        <v>2023</v>
      </c>
      <c r="AU170" s="314">
        <v>45371</v>
      </c>
      <c r="AV170" s="314" t="s">
        <v>79</v>
      </c>
      <c r="AW170" s="274" t="s">
        <v>70</v>
      </c>
      <c r="AX170" s="272"/>
      <c r="AY170" s="272"/>
      <c r="AZ170" s="272"/>
      <c r="BA170" s="272"/>
      <c r="BB170" s="272"/>
      <c r="BC170" s="272"/>
      <c r="BD170" s="272"/>
      <c r="BE170" s="272"/>
      <c r="BF170" s="272"/>
      <c r="BG170" s="323"/>
      <c r="BH170" s="285" t="s">
        <v>1539</v>
      </c>
    </row>
    <row r="171" spans="1:60" s="78" customFormat="1" ht="20.100000000000001" customHeight="1">
      <c r="A171" s="190">
        <v>166</v>
      </c>
      <c r="B171" s="193" t="s">
        <v>376</v>
      </c>
      <c r="C171" s="192" t="s">
        <v>88</v>
      </c>
      <c r="D171" s="192" t="s">
        <v>73</v>
      </c>
      <c r="E171" s="192" t="s">
        <v>407</v>
      </c>
      <c r="F171" s="192" t="s">
        <v>408</v>
      </c>
      <c r="G171" s="266">
        <v>35434</v>
      </c>
      <c r="H171" s="193">
        <v>1992</v>
      </c>
      <c r="I171" s="266">
        <v>11</v>
      </c>
      <c r="J171" s="266">
        <f t="shared" si="20"/>
        <v>682</v>
      </c>
      <c r="K171" s="266"/>
      <c r="L171" s="266"/>
      <c r="M171" s="266">
        <v>682</v>
      </c>
      <c r="N171" s="266"/>
      <c r="O171" s="266"/>
      <c r="P171" s="268"/>
      <c r="Q171" s="268"/>
      <c r="R171" s="268"/>
      <c r="S171" s="268"/>
      <c r="T171" s="268">
        <f t="shared" si="21"/>
        <v>0</v>
      </c>
      <c r="U171" s="266"/>
      <c r="V171" s="266"/>
      <c r="W171" s="266"/>
      <c r="X171" s="266"/>
      <c r="Y171" s="266"/>
      <c r="Z171" s="266"/>
      <c r="AA171" s="266"/>
      <c r="AB171" s="266"/>
      <c r="AC171" s="266"/>
      <c r="AD171" s="266"/>
      <c r="AE171" s="266">
        <f t="shared" si="22"/>
        <v>-682</v>
      </c>
      <c r="AF171" s="269"/>
      <c r="AG171" s="269">
        <v>2.2999999999999998</v>
      </c>
      <c r="AH171" s="270"/>
      <c r="AI171" s="270"/>
      <c r="AJ171" s="193"/>
      <c r="AK171" s="193">
        <v>2023</v>
      </c>
      <c r="AL171" s="193">
        <v>2030</v>
      </c>
      <c r="AM171" s="271">
        <v>43080</v>
      </c>
      <c r="AN171" s="271">
        <v>45291</v>
      </c>
      <c r="AO171" s="272" t="s">
        <v>100</v>
      </c>
      <c r="AP171" s="272"/>
      <c r="AQ171" s="272"/>
      <c r="AR171" s="272">
        <v>46112</v>
      </c>
      <c r="AS171" s="272">
        <v>45078</v>
      </c>
      <c r="AT171" s="192">
        <v>2024</v>
      </c>
      <c r="AU171" s="314">
        <v>45488</v>
      </c>
      <c r="AV171" s="314" t="s">
        <v>79</v>
      </c>
      <c r="AW171" s="274" t="s">
        <v>70</v>
      </c>
      <c r="AX171" s="272"/>
      <c r="AY171" s="272"/>
      <c r="AZ171" s="272"/>
      <c r="BA171" s="272"/>
      <c r="BB171" s="272"/>
      <c r="BC171" s="272"/>
      <c r="BD171" s="272"/>
      <c r="BE171" s="272"/>
      <c r="BF171" s="272"/>
      <c r="BG171" s="323"/>
      <c r="BH171" s="285" t="s">
        <v>1538</v>
      </c>
    </row>
    <row r="172" spans="1:60" s="76" customFormat="1" ht="20.100000000000001" customHeight="1">
      <c r="A172" s="190">
        <v>167</v>
      </c>
      <c r="B172" s="193" t="s">
        <v>376</v>
      </c>
      <c r="C172" s="192" t="s">
        <v>62</v>
      </c>
      <c r="D172" s="192" t="s">
        <v>85</v>
      </c>
      <c r="E172" s="317" t="s">
        <v>409</v>
      </c>
      <c r="F172" s="192" t="s">
        <v>410</v>
      </c>
      <c r="G172" s="266">
        <v>4413.2</v>
      </c>
      <c r="H172" s="193">
        <v>1967</v>
      </c>
      <c r="I172" s="266">
        <v>1</v>
      </c>
      <c r="J172" s="266">
        <f t="shared" si="20"/>
        <v>99</v>
      </c>
      <c r="K172" s="266"/>
      <c r="L172" s="266"/>
      <c r="M172" s="266">
        <v>99</v>
      </c>
      <c r="N172" s="266"/>
      <c r="O172" s="266"/>
      <c r="P172" s="268">
        <v>334</v>
      </c>
      <c r="Q172" s="268">
        <v>334</v>
      </c>
      <c r="R172" s="268"/>
      <c r="S172" s="268"/>
      <c r="T172" s="268">
        <f t="shared" si="21"/>
        <v>334</v>
      </c>
      <c r="U172" s="268">
        <v>334</v>
      </c>
      <c r="V172" s="266"/>
      <c r="W172" s="266"/>
      <c r="X172" s="266"/>
      <c r="Y172" s="266"/>
      <c r="Z172" s="266"/>
      <c r="AA172" s="266"/>
      <c r="AB172" s="266"/>
      <c r="AC172" s="266"/>
      <c r="AD172" s="266"/>
      <c r="AE172" s="266">
        <f t="shared" si="22"/>
        <v>235</v>
      </c>
      <c r="AF172" s="269">
        <v>1.0277000000000001</v>
      </c>
      <c r="AG172" s="269">
        <v>9.9320000000000004</v>
      </c>
      <c r="AH172" s="270">
        <v>80</v>
      </c>
      <c r="AI172" s="270"/>
      <c r="AJ172" s="193"/>
      <c r="AK172" s="193">
        <v>2020</v>
      </c>
      <c r="AL172" s="193">
        <v>2030</v>
      </c>
      <c r="AM172" s="271">
        <v>43080</v>
      </c>
      <c r="AN172" s="271">
        <v>43794</v>
      </c>
      <c r="AO172" s="272"/>
      <c r="AP172" s="272">
        <v>43794</v>
      </c>
      <c r="AQ172" s="272"/>
      <c r="AR172" s="272"/>
      <c r="AS172" s="272"/>
      <c r="AT172" s="272"/>
      <c r="AU172" s="314"/>
      <c r="AV172" s="314" t="s">
        <v>70</v>
      </c>
      <c r="AW172" s="274" t="s">
        <v>70</v>
      </c>
      <c r="AX172" s="272"/>
      <c r="AY172" s="272"/>
      <c r="AZ172" s="272"/>
      <c r="BA172" s="272"/>
      <c r="BB172" s="272"/>
      <c r="BC172" s="272"/>
      <c r="BD172" s="272"/>
      <c r="BE172" s="272"/>
      <c r="BF172" s="275"/>
      <c r="BG172" s="323"/>
      <c r="BH172" s="285" t="s">
        <v>1541</v>
      </c>
    </row>
    <row r="173" spans="1:60" s="78" customFormat="1" ht="20.100000000000001" customHeight="1">
      <c r="A173" s="190">
        <v>168</v>
      </c>
      <c r="B173" s="193" t="s">
        <v>376</v>
      </c>
      <c r="C173" s="192" t="s">
        <v>62</v>
      </c>
      <c r="D173" s="192" t="s">
        <v>73</v>
      </c>
      <c r="E173" s="192" t="s">
        <v>411</v>
      </c>
      <c r="F173" s="192" t="s">
        <v>412</v>
      </c>
      <c r="G173" s="266">
        <v>14203</v>
      </c>
      <c r="H173" s="193">
        <v>1987</v>
      </c>
      <c r="I173" s="266">
        <v>6</v>
      </c>
      <c r="J173" s="266">
        <f t="shared" si="20"/>
        <v>290</v>
      </c>
      <c r="K173" s="266"/>
      <c r="L173" s="266"/>
      <c r="M173" s="266">
        <v>290</v>
      </c>
      <c r="N173" s="266"/>
      <c r="O173" s="266"/>
      <c r="P173" s="268"/>
      <c r="Q173" s="268"/>
      <c r="R173" s="268"/>
      <c r="S173" s="268"/>
      <c r="T173" s="268">
        <f t="shared" si="21"/>
        <v>0</v>
      </c>
      <c r="U173" s="268"/>
      <c r="V173" s="266"/>
      <c r="W173" s="266"/>
      <c r="X173" s="266"/>
      <c r="Y173" s="266"/>
      <c r="Z173" s="266"/>
      <c r="AA173" s="266"/>
      <c r="AB173" s="266"/>
      <c r="AC173" s="266"/>
      <c r="AD173" s="266"/>
      <c r="AE173" s="266">
        <f t="shared" si="22"/>
        <v>-290</v>
      </c>
      <c r="AF173" s="269"/>
      <c r="AG173" s="269">
        <v>2.2999999999999998</v>
      </c>
      <c r="AH173" s="270">
        <v>559</v>
      </c>
      <c r="AI173" s="270"/>
      <c r="AJ173" s="192" t="s">
        <v>63</v>
      </c>
      <c r="AK173" s="193">
        <v>2018</v>
      </c>
      <c r="AL173" s="193">
        <v>2030</v>
      </c>
      <c r="AM173" s="271">
        <v>43080</v>
      </c>
      <c r="AN173" s="271">
        <v>43465</v>
      </c>
      <c r="AO173" s="272">
        <v>45754</v>
      </c>
      <c r="AP173" s="272">
        <v>45754</v>
      </c>
      <c r="AQ173" s="272">
        <v>46013</v>
      </c>
      <c r="AR173" s="272"/>
      <c r="AS173" s="272">
        <v>44253</v>
      </c>
      <c r="AT173" s="272"/>
      <c r="AU173" s="314">
        <v>44635</v>
      </c>
      <c r="AV173" s="314" t="s">
        <v>82</v>
      </c>
      <c r="AW173" s="274" t="s">
        <v>70</v>
      </c>
      <c r="AX173" s="272"/>
      <c r="AY173" s="272"/>
      <c r="AZ173" s="272"/>
      <c r="BA173" s="272"/>
      <c r="BB173" s="272"/>
      <c r="BC173" s="272"/>
      <c r="BD173" s="272"/>
      <c r="BE173" s="272"/>
      <c r="BF173" s="272"/>
      <c r="BG173" s="323"/>
      <c r="BH173" s="285" t="s">
        <v>1540</v>
      </c>
    </row>
    <row r="174" spans="1:60" s="76" customFormat="1" ht="20.100000000000001" customHeight="1">
      <c r="A174" s="190">
        <v>169</v>
      </c>
      <c r="B174" s="193" t="s">
        <v>376</v>
      </c>
      <c r="C174" s="192" t="s">
        <v>88</v>
      </c>
      <c r="D174" s="192" t="s">
        <v>85</v>
      </c>
      <c r="E174" s="318" t="s">
        <v>413</v>
      </c>
      <c r="F174" s="192" t="s">
        <v>414</v>
      </c>
      <c r="G174" s="266">
        <v>19657.7</v>
      </c>
      <c r="H174" s="193" t="s">
        <v>415</v>
      </c>
      <c r="I174" s="266">
        <v>81</v>
      </c>
      <c r="J174" s="266">
        <f t="shared" ref="J174:J205" si="23">SUM(K174:O174)</f>
        <v>155</v>
      </c>
      <c r="K174" s="266">
        <v>21</v>
      </c>
      <c r="L174" s="266">
        <v>50</v>
      </c>
      <c r="M174" s="266">
        <v>11</v>
      </c>
      <c r="N174" s="266">
        <v>3</v>
      </c>
      <c r="O174" s="266">
        <v>70</v>
      </c>
      <c r="P174" s="268">
        <f t="shared" ref="P174:P179" si="24">SUM(Q174:S174)</f>
        <v>412</v>
      </c>
      <c r="Q174" s="268">
        <v>155</v>
      </c>
      <c r="R174" s="268">
        <v>224</v>
      </c>
      <c r="S174" s="268">
        <v>33</v>
      </c>
      <c r="T174" s="268">
        <f t="shared" si="21"/>
        <v>412</v>
      </c>
      <c r="U174" s="266">
        <f>SUM(V174:Z174)</f>
        <v>379</v>
      </c>
      <c r="V174" s="266">
        <v>15</v>
      </c>
      <c r="W174" s="266">
        <v>123</v>
      </c>
      <c r="X174" s="266">
        <f>31+210</f>
        <v>241</v>
      </c>
      <c r="Y174" s="266"/>
      <c r="Z174" s="266"/>
      <c r="AA174" s="266">
        <f>SUM(AB174:AD174)</f>
        <v>33</v>
      </c>
      <c r="AB174" s="266">
        <v>33</v>
      </c>
      <c r="AC174" s="266"/>
      <c r="AD174" s="266"/>
      <c r="AE174" s="266">
        <f t="shared" si="22"/>
        <v>257</v>
      </c>
      <c r="AF174" s="269">
        <v>1.1299999999999999</v>
      </c>
      <c r="AG174" s="269">
        <v>2.5259999999999998</v>
      </c>
      <c r="AH174" s="270">
        <v>152</v>
      </c>
      <c r="AI174" s="270" t="s">
        <v>100</v>
      </c>
      <c r="AJ174" s="193" t="s">
        <v>100</v>
      </c>
      <c r="AK174" s="306"/>
      <c r="AL174" s="306"/>
      <c r="AM174" s="271" t="s">
        <v>416</v>
      </c>
      <c r="AN174" s="271">
        <v>45628</v>
      </c>
      <c r="AO174" s="271"/>
      <c r="AP174" s="271">
        <v>45628</v>
      </c>
      <c r="AQ174" s="272"/>
      <c r="AR174" s="272">
        <v>45831</v>
      </c>
      <c r="AS174" s="272"/>
      <c r="AT174" s="272"/>
      <c r="AU174" s="314"/>
      <c r="AV174" s="314"/>
      <c r="AW174" s="274"/>
      <c r="AX174" s="272"/>
      <c r="AY174" s="272"/>
      <c r="AZ174" s="272"/>
      <c r="BA174" s="272"/>
      <c r="BB174" s="272"/>
      <c r="BC174" s="272"/>
      <c r="BD174" s="272"/>
      <c r="BE174" s="272"/>
      <c r="BF174" s="272"/>
      <c r="BG174" s="323"/>
      <c r="BH174" s="285" t="s">
        <v>1542</v>
      </c>
    </row>
    <row r="175" spans="1:60" s="77" customFormat="1" ht="18.75" customHeight="1">
      <c r="A175" s="190">
        <v>170</v>
      </c>
      <c r="B175" s="193" t="s">
        <v>376</v>
      </c>
      <c r="C175" s="192" t="s">
        <v>88</v>
      </c>
      <c r="D175" s="192" t="s">
        <v>73</v>
      </c>
      <c r="E175" s="192" t="s">
        <v>417</v>
      </c>
      <c r="F175" s="192" t="s">
        <v>418</v>
      </c>
      <c r="G175" s="266">
        <v>16940</v>
      </c>
      <c r="H175" s="193">
        <v>1983</v>
      </c>
      <c r="I175" s="266">
        <v>17</v>
      </c>
      <c r="J175" s="266">
        <f t="shared" si="23"/>
        <v>315</v>
      </c>
      <c r="K175" s="266"/>
      <c r="L175" s="266">
        <v>275</v>
      </c>
      <c r="M175" s="266">
        <v>40</v>
      </c>
      <c r="N175" s="266"/>
      <c r="O175" s="266"/>
      <c r="P175" s="268">
        <f t="shared" si="24"/>
        <v>441</v>
      </c>
      <c r="Q175" s="268">
        <v>441</v>
      </c>
      <c r="R175" s="268"/>
      <c r="S175" s="268"/>
      <c r="T175" s="268">
        <f t="shared" si="21"/>
        <v>441</v>
      </c>
      <c r="U175" s="266">
        <v>441</v>
      </c>
      <c r="V175" s="319"/>
      <c r="W175" s="319"/>
      <c r="X175" s="320"/>
      <c r="Y175" s="266"/>
      <c r="Z175" s="266"/>
      <c r="AA175" s="266"/>
      <c r="AB175" s="279"/>
      <c r="AC175" s="279"/>
      <c r="AD175" s="266"/>
      <c r="AE175" s="266">
        <f t="shared" si="22"/>
        <v>126</v>
      </c>
      <c r="AF175" s="269">
        <v>1.29</v>
      </c>
      <c r="AG175" s="269">
        <v>2.5</v>
      </c>
      <c r="AH175" s="270">
        <v>399</v>
      </c>
      <c r="AI175" s="270"/>
      <c r="AJ175" s="192" t="s">
        <v>63</v>
      </c>
      <c r="AK175" s="193">
        <v>2006</v>
      </c>
      <c r="AL175" s="193">
        <v>2040</v>
      </c>
      <c r="AM175" s="271">
        <v>38978</v>
      </c>
      <c r="AN175" s="271">
        <v>39082</v>
      </c>
      <c r="AO175" s="272" t="s">
        <v>100</v>
      </c>
      <c r="AP175" s="272"/>
      <c r="AQ175" s="272"/>
      <c r="AR175" s="272">
        <v>40017</v>
      </c>
      <c r="AS175" s="272"/>
      <c r="AT175" s="272"/>
      <c r="AU175" s="314">
        <v>40675</v>
      </c>
      <c r="AV175" s="314" t="s">
        <v>70</v>
      </c>
      <c r="AW175" s="274" t="s">
        <v>70</v>
      </c>
      <c r="AX175" s="272"/>
      <c r="AY175" s="272"/>
      <c r="AZ175" s="272"/>
      <c r="BA175" s="272"/>
      <c r="BB175" s="272"/>
      <c r="BC175" s="272"/>
      <c r="BD175" s="272"/>
      <c r="BE175" s="272"/>
      <c r="BF175" s="272"/>
      <c r="BG175" s="323"/>
      <c r="BH175" s="285" t="s">
        <v>1538</v>
      </c>
    </row>
    <row r="176" spans="1:60" s="78" customFormat="1" ht="20.100000000000001" customHeight="1">
      <c r="A176" s="190">
        <v>171</v>
      </c>
      <c r="B176" s="193" t="s">
        <v>376</v>
      </c>
      <c r="C176" s="192" t="s">
        <v>65</v>
      </c>
      <c r="D176" s="192" t="s">
        <v>73</v>
      </c>
      <c r="E176" s="192" t="s">
        <v>419</v>
      </c>
      <c r="F176" s="192" t="s">
        <v>420</v>
      </c>
      <c r="G176" s="266">
        <v>17395.8</v>
      </c>
      <c r="H176" s="193">
        <v>1983</v>
      </c>
      <c r="I176" s="266">
        <v>8</v>
      </c>
      <c r="J176" s="266">
        <f t="shared" si="23"/>
        <v>296</v>
      </c>
      <c r="K176" s="266">
        <v>6</v>
      </c>
      <c r="L176" s="266">
        <v>290</v>
      </c>
      <c r="M176" s="266"/>
      <c r="N176" s="266"/>
      <c r="O176" s="266"/>
      <c r="P176" s="268">
        <f t="shared" si="24"/>
        <v>413</v>
      </c>
      <c r="Q176" s="268">
        <v>413</v>
      </c>
      <c r="R176" s="268"/>
      <c r="S176" s="268"/>
      <c r="T176" s="268">
        <f t="shared" si="21"/>
        <v>413</v>
      </c>
      <c r="U176" s="266">
        <v>413</v>
      </c>
      <c r="V176" s="320"/>
      <c r="W176" s="320"/>
      <c r="X176" s="320"/>
      <c r="Y176" s="266"/>
      <c r="Z176" s="266"/>
      <c r="AA176" s="266"/>
      <c r="AB176" s="266"/>
      <c r="AC176" s="266"/>
      <c r="AD176" s="266"/>
      <c r="AE176" s="266">
        <f t="shared" si="22"/>
        <v>117</v>
      </c>
      <c r="AF176" s="269">
        <v>2</v>
      </c>
      <c r="AG176" s="269">
        <v>2.2999999999999998</v>
      </c>
      <c r="AH176" s="270">
        <v>296</v>
      </c>
      <c r="AI176" s="270">
        <v>296</v>
      </c>
      <c r="AJ176" s="193" t="s">
        <v>92</v>
      </c>
      <c r="AK176" s="193">
        <v>2014</v>
      </c>
      <c r="AL176" s="193">
        <v>2040</v>
      </c>
      <c r="AM176" s="271">
        <v>41695</v>
      </c>
      <c r="AN176" s="271">
        <v>42005</v>
      </c>
      <c r="AO176" s="272" t="s">
        <v>100</v>
      </c>
      <c r="AP176" s="272">
        <v>43095</v>
      </c>
      <c r="AQ176" s="272"/>
      <c r="AR176" s="272">
        <v>43292</v>
      </c>
      <c r="AS176" s="272">
        <v>37714</v>
      </c>
      <c r="AT176" s="272"/>
      <c r="AU176" s="314">
        <v>42351</v>
      </c>
      <c r="AV176" s="314" t="s">
        <v>70</v>
      </c>
      <c r="AW176" s="274" t="s">
        <v>70</v>
      </c>
      <c r="AX176" s="272"/>
      <c r="AY176" s="272">
        <v>43593</v>
      </c>
      <c r="AZ176" s="272">
        <v>45162</v>
      </c>
      <c r="BA176" s="272"/>
      <c r="BB176" s="272"/>
      <c r="BC176" s="272"/>
      <c r="BD176" s="272"/>
      <c r="BE176" s="272"/>
      <c r="BF176" s="272"/>
      <c r="BG176" s="323"/>
      <c r="BH176" s="285" t="s">
        <v>1538</v>
      </c>
    </row>
    <row r="177" spans="1:60" s="61" customFormat="1" ht="20.100000000000001" customHeight="1">
      <c r="A177" s="190">
        <v>172</v>
      </c>
      <c r="B177" s="302" t="s">
        <v>376</v>
      </c>
      <c r="C177" s="192" t="s">
        <v>65</v>
      </c>
      <c r="D177" s="192" t="s">
        <v>85</v>
      </c>
      <c r="E177" s="293" t="s">
        <v>421</v>
      </c>
      <c r="F177" s="293" t="s">
        <v>422</v>
      </c>
      <c r="G177" s="279">
        <v>137027.1</v>
      </c>
      <c r="H177" s="303" t="s">
        <v>423</v>
      </c>
      <c r="I177" s="266">
        <v>559</v>
      </c>
      <c r="J177" s="266">
        <f t="shared" si="23"/>
        <v>2567</v>
      </c>
      <c r="K177" s="266"/>
      <c r="L177" s="266">
        <v>1367</v>
      </c>
      <c r="M177" s="266">
        <v>700</v>
      </c>
      <c r="N177" s="266">
        <v>500</v>
      </c>
      <c r="O177" s="266"/>
      <c r="P177" s="268">
        <f t="shared" si="24"/>
        <v>2413</v>
      </c>
      <c r="Q177" s="268">
        <v>2219</v>
      </c>
      <c r="R177" s="268"/>
      <c r="S177" s="268">
        <v>194</v>
      </c>
      <c r="T177" s="268">
        <f t="shared" si="21"/>
        <v>2394</v>
      </c>
      <c r="U177" s="266">
        <f t="shared" ref="U177:U192" si="25">SUM(V177:Z177)</f>
        <v>2202</v>
      </c>
      <c r="V177" s="266"/>
      <c r="W177" s="266">
        <v>707</v>
      </c>
      <c r="X177" s="266">
        <v>1257</v>
      </c>
      <c r="Y177" s="266">
        <v>233</v>
      </c>
      <c r="Z177" s="266">
        <v>5</v>
      </c>
      <c r="AA177" s="266">
        <f>SUM(AB177:AD177)</f>
        <v>192</v>
      </c>
      <c r="AB177" s="266">
        <v>66</v>
      </c>
      <c r="AC177" s="266">
        <v>126</v>
      </c>
      <c r="AD177" s="266"/>
      <c r="AE177" s="266">
        <f t="shared" si="22"/>
        <v>-173</v>
      </c>
      <c r="AF177" s="269">
        <v>1.0900000000000001</v>
      </c>
      <c r="AG177" s="269">
        <v>2.7</v>
      </c>
      <c r="AH177" s="270">
        <v>1121</v>
      </c>
      <c r="AI177" s="270">
        <v>885</v>
      </c>
      <c r="AJ177" s="192" t="s">
        <v>92</v>
      </c>
      <c r="AK177" s="192">
        <v>2006</v>
      </c>
      <c r="AL177" s="192"/>
      <c r="AM177" s="271">
        <v>38978</v>
      </c>
      <c r="AN177" s="271">
        <v>39082</v>
      </c>
      <c r="AO177" s="272">
        <v>39245</v>
      </c>
      <c r="AP177" s="272">
        <v>39769</v>
      </c>
      <c r="AQ177" s="272">
        <v>46034</v>
      </c>
      <c r="AR177" s="272">
        <v>39028</v>
      </c>
      <c r="AS177" s="271"/>
      <c r="AT177" s="271"/>
      <c r="AU177" s="314"/>
      <c r="AV177" s="314" t="s">
        <v>70</v>
      </c>
      <c r="AW177" s="274" t="s">
        <v>70</v>
      </c>
      <c r="AX177" s="271"/>
      <c r="AY177" s="272">
        <v>39871</v>
      </c>
      <c r="AZ177" s="272">
        <v>40378</v>
      </c>
      <c r="BA177" s="304"/>
      <c r="BB177" s="304"/>
      <c r="BC177" s="304"/>
      <c r="BD177" s="304"/>
      <c r="BE177" s="304"/>
      <c r="BF177" s="304"/>
      <c r="BG177" s="326"/>
      <c r="BH177" s="285" t="s">
        <v>1543</v>
      </c>
    </row>
    <row r="178" spans="1:60" s="76" customFormat="1" ht="20.100000000000001" customHeight="1">
      <c r="A178" s="190">
        <v>173</v>
      </c>
      <c r="B178" s="302" t="s">
        <v>376</v>
      </c>
      <c r="C178" s="192" t="s">
        <v>65</v>
      </c>
      <c r="D178" s="192" t="s">
        <v>85</v>
      </c>
      <c r="E178" s="293" t="s">
        <v>424</v>
      </c>
      <c r="F178" s="293" t="s">
        <v>425</v>
      </c>
      <c r="G178" s="279">
        <v>25887.9</v>
      </c>
      <c r="H178" s="303" t="s">
        <v>423</v>
      </c>
      <c r="I178" s="266">
        <v>122</v>
      </c>
      <c r="J178" s="266">
        <f t="shared" si="23"/>
        <v>551</v>
      </c>
      <c r="K178" s="266"/>
      <c r="L178" s="266">
        <v>241</v>
      </c>
      <c r="M178" s="266">
        <v>247</v>
      </c>
      <c r="N178" s="266">
        <v>63</v>
      </c>
      <c r="O178" s="266"/>
      <c r="P178" s="268">
        <f t="shared" si="24"/>
        <v>621</v>
      </c>
      <c r="Q178" s="268">
        <v>571</v>
      </c>
      <c r="R178" s="268">
        <v>0</v>
      </c>
      <c r="S178" s="268">
        <v>50</v>
      </c>
      <c r="T178" s="268">
        <f t="shared" si="21"/>
        <v>621</v>
      </c>
      <c r="U178" s="266">
        <f t="shared" si="25"/>
        <v>571</v>
      </c>
      <c r="V178" s="266">
        <v>86</v>
      </c>
      <c r="W178" s="266"/>
      <c r="X178" s="266">
        <v>485</v>
      </c>
      <c r="Y178" s="266"/>
      <c r="Z178" s="266"/>
      <c r="AA178" s="266">
        <f>SUM(AB178:AD178)</f>
        <v>50</v>
      </c>
      <c r="AB178" s="266">
        <v>50</v>
      </c>
      <c r="AC178" s="266"/>
      <c r="AD178" s="266"/>
      <c r="AE178" s="266">
        <f t="shared" si="22"/>
        <v>70</v>
      </c>
      <c r="AF178" s="269" t="s">
        <v>426</v>
      </c>
      <c r="AG178" s="269">
        <v>3.2713999999999999</v>
      </c>
      <c r="AH178" s="270">
        <v>306</v>
      </c>
      <c r="AI178" s="270">
        <v>286</v>
      </c>
      <c r="AJ178" s="192" t="s">
        <v>92</v>
      </c>
      <c r="AK178" s="192">
        <v>2006</v>
      </c>
      <c r="AL178" s="192"/>
      <c r="AM178" s="271">
        <v>38978</v>
      </c>
      <c r="AN178" s="271"/>
      <c r="AO178" s="272">
        <v>39828</v>
      </c>
      <c r="AP178" s="272">
        <v>39923</v>
      </c>
      <c r="AQ178" s="272">
        <v>46146</v>
      </c>
      <c r="AR178" s="272">
        <v>39066</v>
      </c>
      <c r="AS178" s="271"/>
      <c r="AT178" s="271"/>
      <c r="AU178" s="314"/>
      <c r="AV178" s="314" t="s">
        <v>70</v>
      </c>
      <c r="AW178" s="274" t="s">
        <v>70</v>
      </c>
      <c r="AX178" s="271"/>
      <c r="AY178" s="272">
        <v>40714</v>
      </c>
      <c r="AZ178" s="272">
        <v>41820</v>
      </c>
      <c r="BA178" s="304"/>
      <c r="BB178" s="304"/>
      <c r="BC178" s="304"/>
      <c r="BD178" s="304"/>
      <c r="BE178" s="304"/>
      <c r="BF178" s="304"/>
      <c r="BG178" s="326"/>
      <c r="BH178" s="285" t="s">
        <v>1544</v>
      </c>
    </row>
    <row r="179" spans="1:60" s="76" customFormat="1" ht="20.100000000000001" customHeight="1">
      <c r="A179" s="190">
        <v>174</v>
      </c>
      <c r="B179" s="193" t="s">
        <v>376</v>
      </c>
      <c r="C179" s="192" t="s">
        <v>66</v>
      </c>
      <c r="D179" s="192" t="s">
        <v>85</v>
      </c>
      <c r="E179" s="192" t="s">
        <v>430</v>
      </c>
      <c r="F179" s="192" t="s">
        <v>431</v>
      </c>
      <c r="G179" s="266">
        <v>45407.5</v>
      </c>
      <c r="H179" s="193" t="s">
        <v>432</v>
      </c>
      <c r="I179" s="266">
        <v>285</v>
      </c>
      <c r="J179" s="266">
        <f>SUM(K179:O179)</f>
        <v>603</v>
      </c>
      <c r="K179" s="266"/>
      <c r="L179" s="266">
        <v>603</v>
      </c>
      <c r="M179" s="266"/>
      <c r="N179" s="266"/>
      <c r="O179" s="266"/>
      <c r="P179" s="268">
        <f t="shared" si="24"/>
        <v>1728</v>
      </c>
      <c r="Q179" s="268">
        <v>498</v>
      </c>
      <c r="R179" s="268">
        <v>1086</v>
      </c>
      <c r="S179" s="268">
        <v>144</v>
      </c>
      <c r="T179" s="268">
        <f>U179+AA179</f>
        <v>1728</v>
      </c>
      <c r="U179" s="266">
        <f>SUM(V179:Z179)</f>
        <v>1584</v>
      </c>
      <c r="V179" s="266"/>
      <c r="W179" s="266"/>
      <c r="X179" s="266">
        <v>1584</v>
      </c>
      <c r="Y179" s="266"/>
      <c r="Z179" s="266"/>
      <c r="AA179" s="266">
        <f>SUM(AB179:AD179)</f>
        <v>144</v>
      </c>
      <c r="AB179" s="266">
        <v>144</v>
      </c>
      <c r="AC179" s="266"/>
      <c r="AD179" s="266"/>
      <c r="AE179" s="266">
        <f>T179-J179</f>
        <v>1125</v>
      </c>
      <c r="AF179" s="269" t="s">
        <v>196</v>
      </c>
      <c r="AG179" s="269">
        <v>7.6196000000000002</v>
      </c>
      <c r="AH179" s="270">
        <v>498</v>
      </c>
      <c r="AI179" s="270">
        <v>408</v>
      </c>
      <c r="AJ179" s="193" t="s">
        <v>92</v>
      </c>
      <c r="AK179" s="193">
        <v>2011</v>
      </c>
      <c r="AL179" s="193">
        <v>2031</v>
      </c>
      <c r="AM179" s="271">
        <v>38978</v>
      </c>
      <c r="AN179" s="271">
        <v>39082</v>
      </c>
      <c r="AO179" s="271">
        <v>39430</v>
      </c>
      <c r="AP179" s="272">
        <v>39951</v>
      </c>
      <c r="AQ179" s="272">
        <v>45537</v>
      </c>
      <c r="AR179" s="272">
        <v>39038</v>
      </c>
      <c r="AS179" s="272"/>
      <c r="AT179" s="272"/>
      <c r="AU179" s="314"/>
      <c r="AV179" s="314" t="s">
        <v>70</v>
      </c>
      <c r="AW179" s="274" t="s">
        <v>70</v>
      </c>
      <c r="AX179" s="272"/>
      <c r="AY179" s="272">
        <v>40049</v>
      </c>
      <c r="AZ179" s="272">
        <v>44678</v>
      </c>
      <c r="BA179" s="272">
        <v>45327</v>
      </c>
      <c r="BB179" s="275"/>
      <c r="BC179" s="272"/>
      <c r="BD179" s="272"/>
      <c r="BE179" s="272"/>
      <c r="BF179" s="272"/>
      <c r="BG179" s="323"/>
      <c r="BH179" s="285" t="s">
        <v>1542</v>
      </c>
    </row>
    <row r="180" spans="1:60" s="76" customFormat="1" ht="20.100000000000001" customHeight="1">
      <c r="A180" s="190">
        <v>175</v>
      </c>
      <c r="B180" s="193" t="s">
        <v>376</v>
      </c>
      <c r="C180" s="192" t="s">
        <v>67</v>
      </c>
      <c r="D180" s="192" t="s">
        <v>85</v>
      </c>
      <c r="E180" s="192" t="s">
        <v>427</v>
      </c>
      <c r="F180" s="192" t="s">
        <v>428</v>
      </c>
      <c r="G180" s="266">
        <v>76072.3</v>
      </c>
      <c r="H180" s="193" t="s">
        <v>429</v>
      </c>
      <c r="I180" s="266">
        <v>547</v>
      </c>
      <c r="J180" s="266">
        <f t="shared" si="23"/>
        <v>1555</v>
      </c>
      <c r="K180" s="266"/>
      <c r="L180" s="266">
        <v>1555</v>
      </c>
      <c r="M180" s="266"/>
      <c r="N180" s="266"/>
      <c r="O180" s="266"/>
      <c r="P180" s="268">
        <v>1649</v>
      </c>
      <c r="Q180" s="268">
        <v>532</v>
      </c>
      <c r="R180" s="268">
        <v>985</v>
      </c>
      <c r="S180" s="268">
        <v>132</v>
      </c>
      <c r="T180" s="268">
        <f t="shared" ref="T180:T210" si="26">U180+AA180</f>
        <v>1649</v>
      </c>
      <c r="U180" s="266">
        <f t="shared" si="25"/>
        <v>1517</v>
      </c>
      <c r="V180" s="266"/>
      <c r="W180" s="266">
        <v>595</v>
      </c>
      <c r="X180" s="266">
        <v>922</v>
      </c>
      <c r="Y180" s="266"/>
      <c r="Z180" s="266"/>
      <c r="AA180" s="266">
        <f>SUM(AB180:AD180)</f>
        <v>132</v>
      </c>
      <c r="AB180" s="266">
        <v>132</v>
      </c>
      <c r="AC180" s="266"/>
      <c r="AD180" s="266"/>
      <c r="AE180" s="266">
        <f t="shared" si="22"/>
        <v>94</v>
      </c>
      <c r="AF180" s="269" t="s">
        <v>196</v>
      </c>
      <c r="AG180" s="269">
        <v>2.8797000000000001</v>
      </c>
      <c r="AH180" s="270">
        <v>529</v>
      </c>
      <c r="AI180" s="270">
        <v>529</v>
      </c>
      <c r="AJ180" s="193" t="s">
        <v>92</v>
      </c>
      <c r="AK180" s="193">
        <v>2011</v>
      </c>
      <c r="AL180" s="193">
        <v>2026</v>
      </c>
      <c r="AM180" s="271">
        <v>37708</v>
      </c>
      <c r="AN180" s="271">
        <v>39082</v>
      </c>
      <c r="AO180" s="271">
        <v>38190</v>
      </c>
      <c r="AP180" s="272">
        <v>39517</v>
      </c>
      <c r="AQ180" s="272">
        <v>45432</v>
      </c>
      <c r="AR180" s="272">
        <v>38999</v>
      </c>
      <c r="AS180" s="272"/>
      <c r="AT180" s="272"/>
      <c r="AU180" s="314"/>
      <c r="AV180" s="314" t="s">
        <v>70</v>
      </c>
      <c r="AW180" s="274" t="s">
        <v>70</v>
      </c>
      <c r="AX180" s="272"/>
      <c r="AY180" s="272">
        <v>39715</v>
      </c>
      <c r="AZ180" s="275">
        <v>44049</v>
      </c>
      <c r="BA180" s="275">
        <v>44727</v>
      </c>
      <c r="BB180" s="272">
        <v>46042</v>
      </c>
      <c r="BC180" s="272"/>
      <c r="BD180" s="272"/>
      <c r="BE180" s="272"/>
      <c r="BF180" s="272"/>
      <c r="BG180" s="323"/>
      <c r="BH180" s="285" t="s">
        <v>1544</v>
      </c>
    </row>
    <row r="181" spans="1:60" s="76" customFormat="1" ht="20.100000000000001" customHeight="1">
      <c r="A181" s="190">
        <v>176</v>
      </c>
      <c r="B181" s="193" t="s">
        <v>376</v>
      </c>
      <c r="C181" s="192" t="s">
        <v>67</v>
      </c>
      <c r="D181" s="192" t="s">
        <v>85</v>
      </c>
      <c r="E181" s="192" t="s">
        <v>433</v>
      </c>
      <c r="F181" s="192" t="s">
        <v>434</v>
      </c>
      <c r="G181" s="266">
        <v>38323.699999999997</v>
      </c>
      <c r="H181" s="193" t="s">
        <v>429</v>
      </c>
      <c r="I181" s="266">
        <v>227</v>
      </c>
      <c r="J181" s="266">
        <f t="shared" si="23"/>
        <v>590</v>
      </c>
      <c r="K181" s="266"/>
      <c r="L181" s="266">
        <v>590</v>
      </c>
      <c r="M181" s="266"/>
      <c r="N181" s="266"/>
      <c r="O181" s="266"/>
      <c r="P181" s="268">
        <f t="shared" ref="P181:P192" si="27">SUM(Q181:S181)</f>
        <v>759</v>
      </c>
      <c r="Q181" s="268">
        <v>477</v>
      </c>
      <c r="R181" s="268">
        <v>197</v>
      </c>
      <c r="S181" s="268">
        <v>85</v>
      </c>
      <c r="T181" s="268">
        <f t="shared" si="26"/>
        <v>759</v>
      </c>
      <c r="U181" s="266">
        <f t="shared" si="25"/>
        <v>674</v>
      </c>
      <c r="V181" s="266"/>
      <c r="W181" s="266">
        <v>538</v>
      </c>
      <c r="X181" s="266">
        <v>136</v>
      </c>
      <c r="Y181" s="266"/>
      <c r="Z181" s="266"/>
      <c r="AA181" s="266">
        <f>SUM(AB181:AD181)</f>
        <v>85</v>
      </c>
      <c r="AB181" s="266">
        <v>46</v>
      </c>
      <c r="AC181" s="266">
        <v>39</v>
      </c>
      <c r="AD181" s="266"/>
      <c r="AE181" s="266">
        <f t="shared" si="22"/>
        <v>169</v>
      </c>
      <c r="AF181" s="269" t="s">
        <v>196</v>
      </c>
      <c r="AG181" s="269">
        <v>2.7397</v>
      </c>
      <c r="AH181" s="270">
        <v>431</v>
      </c>
      <c r="AI181" s="270">
        <v>431</v>
      </c>
      <c r="AJ181" s="193" t="s">
        <v>92</v>
      </c>
      <c r="AK181" s="193">
        <v>2009</v>
      </c>
      <c r="AL181" s="193">
        <v>2028</v>
      </c>
      <c r="AM181" s="271">
        <v>39934</v>
      </c>
      <c r="AN181" s="271" t="s">
        <v>435</v>
      </c>
      <c r="AO181" s="271">
        <v>39934</v>
      </c>
      <c r="AP181" s="272">
        <v>39934</v>
      </c>
      <c r="AQ181" s="272">
        <v>45992</v>
      </c>
      <c r="AR181" s="272">
        <v>40026</v>
      </c>
      <c r="AS181" s="272"/>
      <c r="AT181" s="272"/>
      <c r="AU181" s="314"/>
      <c r="AV181" s="314" t="s">
        <v>70</v>
      </c>
      <c r="AW181" s="274" t="s">
        <v>70</v>
      </c>
      <c r="AX181" s="272"/>
      <c r="AY181" s="272">
        <v>40639</v>
      </c>
      <c r="AZ181" s="275">
        <v>43411</v>
      </c>
      <c r="BA181" s="272">
        <v>43780</v>
      </c>
      <c r="BB181" s="275">
        <v>45644</v>
      </c>
      <c r="BC181" s="272"/>
      <c r="BD181" s="272"/>
      <c r="BE181" s="272"/>
      <c r="BF181" s="272"/>
      <c r="BG181" s="323"/>
      <c r="BH181" s="285" t="s">
        <v>1543</v>
      </c>
    </row>
    <row r="182" spans="1:60" s="78" customFormat="1" ht="20.100000000000001" customHeight="1">
      <c r="A182" s="190">
        <v>177</v>
      </c>
      <c r="B182" s="193" t="s">
        <v>376</v>
      </c>
      <c r="C182" s="192" t="s">
        <v>67</v>
      </c>
      <c r="D182" s="192" t="s">
        <v>73</v>
      </c>
      <c r="E182" s="192" t="s">
        <v>436</v>
      </c>
      <c r="F182" s="192" t="s">
        <v>437</v>
      </c>
      <c r="G182" s="266">
        <v>42612</v>
      </c>
      <c r="H182" s="193">
        <v>1984</v>
      </c>
      <c r="I182" s="266">
        <v>36</v>
      </c>
      <c r="J182" s="266">
        <f t="shared" si="23"/>
        <v>885</v>
      </c>
      <c r="K182" s="266">
        <v>66</v>
      </c>
      <c r="L182" s="266">
        <v>349</v>
      </c>
      <c r="M182" s="266">
        <v>469</v>
      </c>
      <c r="N182" s="266">
        <v>1</v>
      </c>
      <c r="O182" s="266"/>
      <c r="P182" s="268">
        <f t="shared" si="27"/>
        <v>1045</v>
      </c>
      <c r="Q182" s="268">
        <v>812</v>
      </c>
      <c r="R182" s="268">
        <v>233</v>
      </c>
      <c r="S182" s="268"/>
      <c r="T182" s="268">
        <f t="shared" si="26"/>
        <v>1270</v>
      </c>
      <c r="U182" s="266">
        <f t="shared" si="25"/>
        <v>1045</v>
      </c>
      <c r="V182" s="266"/>
      <c r="W182" s="266">
        <v>828</v>
      </c>
      <c r="X182" s="266">
        <v>210</v>
      </c>
      <c r="Y182" s="266">
        <v>7</v>
      </c>
      <c r="Z182" s="266"/>
      <c r="AA182" s="266">
        <v>225</v>
      </c>
      <c r="AB182" s="266"/>
      <c r="AC182" s="266"/>
      <c r="AD182" s="266"/>
      <c r="AE182" s="266">
        <f t="shared" si="22"/>
        <v>385</v>
      </c>
      <c r="AF182" s="269">
        <v>1.35</v>
      </c>
      <c r="AG182" s="269">
        <v>2.68</v>
      </c>
      <c r="AH182" s="270">
        <v>822</v>
      </c>
      <c r="AI182" s="270">
        <v>807</v>
      </c>
      <c r="AJ182" s="192" t="s">
        <v>92</v>
      </c>
      <c r="AK182" s="306">
        <v>2006</v>
      </c>
      <c r="AL182" s="306">
        <v>2026</v>
      </c>
      <c r="AM182" s="271">
        <v>38978</v>
      </c>
      <c r="AN182" s="271">
        <v>39813</v>
      </c>
      <c r="AO182" s="272">
        <v>41687</v>
      </c>
      <c r="AP182" s="272">
        <v>43346</v>
      </c>
      <c r="AQ182" s="272">
        <v>43829</v>
      </c>
      <c r="AR182" s="272">
        <v>39269</v>
      </c>
      <c r="AS182" s="272">
        <v>40765</v>
      </c>
      <c r="AT182" s="192">
        <v>2011</v>
      </c>
      <c r="AU182" s="314">
        <v>40896</v>
      </c>
      <c r="AV182" s="314" t="s">
        <v>82</v>
      </c>
      <c r="AW182" s="272" t="s">
        <v>298</v>
      </c>
      <c r="AX182" s="272" t="s">
        <v>438</v>
      </c>
      <c r="AY182" s="272">
        <v>42808</v>
      </c>
      <c r="AZ182" s="272">
        <v>44018</v>
      </c>
      <c r="BA182" s="272">
        <v>44510</v>
      </c>
      <c r="BB182" s="272">
        <v>45310</v>
      </c>
      <c r="BC182" s="272"/>
      <c r="BD182" s="272"/>
      <c r="BE182" s="272"/>
      <c r="BF182" s="272"/>
      <c r="BG182" s="323"/>
      <c r="BH182" s="285" t="s">
        <v>1539</v>
      </c>
    </row>
    <row r="183" spans="1:60" s="78" customFormat="1" ht="20.100000000000001" customHeight="1">
      <c r="A183" s="190">
        <v>178</v>
      </c>
      <c r="B183" s="193" t="s">
        <v>376</v>
      </c>
      <c r="C183" s="192" t="s">
        <v>68</v>
      </c>
      <c r="D183" s="192" t="s">
        <v>73</v>
      </c>
      <c r="E183" s="192" t="s">
        <v>443</v>
      </c>
      <c r="F183" s="192" t="s">
        <v>444</v>
      </c>
      <c r="G183" s="266">
        <v>42951.7</v>
      </c>
      <c r="H183" s="193">
        <v>1984</v>
      </c>
      <c r="I183" s="266">
        <v>17</v>
      </c>
      <c r="J183" s="266">
        <f t="shared" si="23"/>
        <v>770</v>
      </c>
      <c r="K183" s="266"/>
      <c r="L183" s="266">
        <v>326</v>
      </c>
      <c r="M183" s="266">
        <v>384</v>
      </c>
      <c r="N183" s="266">
        <v>60</v>
      </c>
      <c r="O183" s="266"/>
      <c r="P183" s="268">
        <f t="shared" si="27"/>
        <v>921</v>
      </c>
      <c r="Q183" s="268">
        <v>694</v>
      </c>
      <c r="R183" s="268">
        <v>227</v>
      </c>
      <c r="S183" s="268"/>
      <c r="T183" s="268">
        <f t="shared" si="26"/>
        <v>921</v>
      </c>
      <c r="U183" s="266">
        <f t="shared" si="25"/>
        <v>921</v>
      </c>
      <c r="V183" s="266"/>
      <c r="W183" s="266">
        <v>557</v>
      </c>
      <c r="X183" s="266">
        <v>364</v>
      </c>
      <c r="Y183" s="266"/>
      <c r="Z183" s="266"/>
      <c r="AA183" s="266"/>
      <c r="AB183" s="266"/>
      <c r="AC183" s="266"/>
      <c r="AD183" s="266"/>
      <c r="AE183" s="266">
        <f t="shared" si="22"/>
        <v>151</v>
      </c>
      <c r="AF183" s="269">
        <v>1.24</v>
      </c>
      <c r="AG183" s="269">
        <v>2.5</v>
      </c>
      <c r="AH183" s="270">
        <v>761</v>
      </c>
      <c r="AI183" s="270">
        <v>694</v>
      </c>
      <c r="AJ183" s="193" t="s">
        <v>92</v>
      </c>
      <c r="AK183" s="193">
        <v>2006</v>
      </c>
      <c r="AL183" s="193">
        <v>2020</v>
      </c>
      <c r="AM183" s="271">
        <v>38978</v>
      </c>
      <c r="AN183" s="271"/>
      <c r="AO183" s="272"/>
      <c r="AP183" s="272">
        <v>39342</v>
      </c>
      <c r="AQ183" s="272">
        <v>42541</v>
      </c>
      <c r="AR183" s="272">
        <v>37986</v>
      </c>
      <c r="AS183" s="272"/>
      <c r="AT183" s="192">
        <v>2003</v>
      </c>
      <c r="AU183" s="314">
        <v>37842</v>
      </c>
      <c r="AV183" s="314" t="s">
        <v>70</v>
      </c>
      <c r="AW183" s="274" t="s">
        <v>70</v>
      </c>
      <c r="AX183" s="272"/>
      <c r="AY183" s="272">
        <v>40071</v>
      </c>
      <c r="AZ183" s="272">
        <v>41904</v>
      </c>
      <c r="BA183" s="272">
        <v>42713</v>
      </c>
      <c r="BB183" s="272">
        <v>42950</v>
      </c>
      <c r="BC183" s="272">
        <v>43124</v>
      </c>
      <c r="BD183" s="275">
        <v>43943</v>
      </c>
      <c r="BE183" s="275">
        <v>44039</v>
      </c>
      <c r="BF183" s="272"/>
      <c r="BG183" s="323"/>
      <c r="BH183" s="285" t="s">
        <v>1539</v>
      </c>
    </row>
    <row r="184" spans="1:60" s="77" customFormat="1" ht="20.100000000000001" customHeight="1">
      <c r="A184" s="190">
        <v>179</v>
      </c>
      <c r="B184" s="193" t="s">
        <v>376</v>
      </c>
      <c r="C184" s="192" t="s">
        <v>68</v>
      </c>
      <c r="D184" s="192" t="s">
        <v>73</v>
      </c>
      <c r="E184" s="192" t="s">
        <v>445</v>
      </c>
      <c r="F184" s="192" t="s">
        <v>446</v>
      </c>
      <c r="G184" s="266">
        <v>15356</v>
      </c>
      <c r="H184" s="193">
        <v>1985</v>
      </c>
      <c r="I184" s="266">
        <v>6</v>
      </c>
      <c r="J184" s="266">
        <f t="shared" si="23"/>
        <v>220</v>
      </c>
      <c r="K184" s="266"/>
      <c r="L184" s="266">
        <v>118</v>
      </c>
      <c r="M184" s="266">
        <v>102</v>
      </c>
      <c r="N184" s="266"/>
      <c r="O184" s="266"/>
      <c r="P184" s="268">
        <f t="shared" si="27"/>
        <v>354</v>
      </c>
      <c r="Q184" s="268">
        <v>212</v>
      </c>
      <c r="R184" s="268">
        <v>142</v>
      </c>
      <c r="S184" s="268"/>
      <c r="T184" s="268">
        <f t="shared" si="26"/>
        <v>354</v>
      </c>
      <c r="U184" s="266">
        <f t="shared" si="25"/>
        <v>354</v>
      </c>
      <c r="V184" s="266"/>
      <c r="W184" s="266">
        <v>171</v>
      </c>
      <c r="X184" s="266">
        <v>183</v>
      </c>
      <c r="Y184" s="266"/>
      <c r="Z184" s="266"/>
      <c r="AA184" s="266"/>
      <c r="AB184" s="266"/>
      <c r="AC184" s="266"/>
      <c r="AD184" s="266"/>
      <c r="AE184" s="266">
        <f t="shared" si="22"/>
        <v>134</v>
      </c>
      <c r="AF184" s="269">
        <v>0.91</v>
      </c>
      <c r="AG184" s="269">
        <v>2.48</v>
      </c>
      <c r="AH184" s="270">
        <v>221</v>
      </c>
      <c r="AI184" s="270">
        <v>212</v>
      </c>
      <c r="AJ184" s="193" t="s">
        <v>92</v>
      </c>
      <c r="AK184" s="193">
        <v>2006</v>
      </c>
      <c r="AL184" s="193">
        <v>2020</v>
      </c>
      <c r="AM184" s="271">
        <v>38978</v>
      </c>
      <c r="AN184" s="271"/>
      <c r="AO184" s="272"/>
      <c r="AP184" s="272">
        <v>40763</v>
      </c>
      <c r="AQ184" s="272"/>
      <c r="AR184" s="272">
        <v>40039</v>
      </c>
      <c r="AS184" s="272"/>
      <c r="AT184" s="192">
        <v>2010</v>
      </c>
      <c r="AU184" s="314">
        <v>40280</v>
      </c>
      <c r="AV184" s="314" t="s">
        <v>70</v>
      </c>
      <c r="AW184" s="274" t="s">
        <v>70</v>
      </c>
      <c r="AX184" s="272"/>
      <c r="AY184" s="272">
        <v>40919</v>
      </c>
      <c r="AZ184" s="272">
        <v>42083</v>
      </c>
      <c r="BA184" s="272">
        <v>42299</v>
      </c>
      <c r="BB184" s="272">
        <v>42543</v>
      </c>
      <c r="BC184" s="272">
        <v>42545</v>
      </c>
      <c r="BD184" s="272">
        <v>43363</v>
      </c>
      <c r="BE184" s="272">
        <v>43458</v>
      </c>
      <c r="BF184" s="272"/>
      <c r="BG184" s="323"/>
      <c r="BH184" s="285" t="s">
        <v>1539</v>
      </c>
    </row>
    <row r="185" spans="1:60" s="78" customFormat="1" ht="20.100000000000001" customHeight="1">
      <c r="A185" s="190">
        <v>180</v>
      </c>
      <c r="B185" s="193" t="s">
        <v>376</v>
      </c>
      <c r="C185" s="192" t="s">
        <v>68</v>
      </c>
      <c r="D185" s="192" t="s">
        <v>73</v>
      </c>
      <c r="E185" s="192" t="s">
        <v>447</v>
      </c>
      <c r="F185" s="192" t="s">
        <v>448</v>
      </c>
      <c r="G185" s="266">
        <v>101985.9</v>
      </c>
      <c r="H185" s="193">
        <v>1985</v>
      </c>
      <c r="I185" s="266">
        <v>40</v>
      </c>
      <c r="J185" s="266">
        <f t="shared" si="23"/>
        <v>1040</v>
      </c>
      <c r="K185" s="266"/>
      <c r="L185" s="266">
        <v>1040</v>
      </c>
      <c r="M185" s="266"/>
      <c r="N185" s="266"/>
      <c r="O185" s="266"/>
      <c r="P185" s="268">
        <f t="shared" si="27"/>
        <v>1613</v>
      </c>
      <c r="Q185" s="268">
        <v>1040</v>
      </c>
      <c r="R185" s="268">
        <v>423</v>
      </c>
      <c r="S185" s="268">
        <v>150</v>
      </c>
      <c r="T185" s="268">
        <f t="shared" si="26"/>
        <v>1613</v>
      </c>
      <c r="U185" s="266">
        <f t="shared" si="25"/>
        <v>1463</v>
      </c>
      <c r="V185" s="266"/>
      <c r="W185" s="266">
        <v>207</v>
      </c>
      <c r="X185" s="266">
        <v>713</v>
      </c>
      <c r="Y185" s="266">
        <v>250</v>
      </c>
      <c r="Z185" s="266">
        <v>293</v>
      </c>
      <c r="AA185" s="266">
        <f t="shared" ref="AA185:AA192" si="28">SUM(AB185:AD185)</f>
        <v>150</v>
      </c>
      <c r="AB185" s="266"/>
      <c r="AC185" s="266">
        <v>150</v>
      </c>
      <c r="AD185" s="266"/>
      <c r="AE185" s="266">
        <f t="shared" si="22"/>
        <v>573</v>
      </c>
      <c r="AF185" s="269">
        <v>0.85</v>
      </c>
      <c r="AG185" s="269">
        <v>2.5</v>
      </c>
      <c r="AH185" s="270">
        <v>1040</v>
      </c>
      <c r="AI185" s="270">
        <v>1031</v>
      </c>
      <c r="AJ185" s="193" t="s">
        <v>92</v>
      </c>
      <c r="AK185" s="193">
        <v>2003</v>
      </c>
      <c r="AL185" s="193">
        <v>2015</v>
      </c>
      <c r="AM185" s="271" t="s">
        <v>126</v>
      </c>
      <c r="AN185" s="271"/>
      <c r="AO185" s="271"/>
      <c r="AP185" s="272">
        <v>39174</v>
      </c>
      <c r="AQ185" s="272"/>
      <c r="AR185" s="272">
        <v>37985</v>
      </c>
      <c r="AS185" s="272">
        <v>37889</v>
      </c>
      <c r="AT185" s="192">
        <v>2004</v>
      </c>
      <c r="AU185" s="314">
        <v>38033</v>
      </c>
      <c r="AV185" s="314" t="s">
        <v>70</v>
      </c>
      <c r="AW185" s="274" t="s">
        <v>70</v>
      </c>
      <c r="AX185" s="272"/>
      <c r="AY185" s="272">
        <v>39276</v>
      </c>
      <c r="AZ185" s="272">
        <v>39335</v>
      </c>
      <c r="BA185" s="272">
        <v>39472</v>
      </c>
      <c r="BB185" s="272">
        <v>40255</v>
      </c>
      <c r="BC185" s="272">
        <v>40823</v>
      </c>
      <c r="BD185" s="272">
        <v>42947</v>
      </c>
      <c r="BE185" s="272">
        <v>43066</v>
      </c>
      <c r="BF185" s="272"/>
      <c r="BG185" s="323"/>
      <c r="BH185" s="285" t="s">
        <v>1539</v>
      </c>
    </row>
    <row r="186" spans="1:60" s="78" customFormat="1" ht="20.100000000000001" customHeight="1">
      <c r="A186" s="190">
        <v>181</v>
      </c>
      <c r="B186" s="193" t="s">
        <v>376</v>
      </c>
      <c r="C186" s="192" t="s">
        <v>68</v>
      </c>
      <c r="D186" s="192" t="s">
        <v>73</v>
      </c>
      <c r="E186" s="192" t="s">
        <v>449</v>
      </c>
      <c r="F186" s="192" t="s">
        <v>450</v>
      </c>
      <c r="G186" s="266">
        <v>20108</v>
      </c>
      <c r="H186" s="193">
        <v>1984</v>
      </c>
      <c r="I186" s="266">
        <v>9</v>
      </c>
      <c r="J186" s="266">
        <f t="shared" si="23"/>
        <v>363</v>
      </c>
      <c r="K186" s="266"/>
      <c r="L186" s="266">
        <v>363</v>
      </c>
      <c r="M186" s="266"/>
      <c r="N186" s="266"/>
      <c r="O186" s="266"/>
      <c r="P186" s="268">
        <f t="shared" si="27"/>
        <v>403</v>
      </c>
      <c r="Q186" s="268">
        <v>341</v>
      </c>
      <c r="R186" s="268">
        <v>54</v>
      </c>
      <c r="S186" s="268">
        <v>8</v>
      </c>
      <c r="T186" s="268">
        <f t="shared" si="26"/>
        <v>403</v>
      </c>
      <c r="U186" s="266">
        <f t="shared" si="25"/>
        <v>395</v>
      </c>
      <c r="V186" s="266"/>
      <c r="W186" s="266">
        <v>84</v>
      </c>
      <c r="X186" s="266">
        <v>187</v>
      </c>
      <c r="Y186" s="266">
        <v>124</v>
      </c>
      <c r="Z186" s="266"/>
      <c r="AA186" s="266">
        <f t="shared" si="28"/>
        <v>8</v>
      </c>
      <c r="AB186" s="266"/>
      <c r="AC186" s="266">
        <v>3</v>
      </c>
      <c r="AD186" s="266">
        <v>5</v>
      </c>
      <c r="AE186" s="266">
        <f t="shared" si="22"/>
        <v>40</v>
      </c>
      <c r="AF186" s="269">
        <v>1.54</v>
      </c>
      <c r="AG186" s="269">
        <v>2.15</v>
      </c>
      <c r="AH186" s="270">
        <v>363</v>
      </c>
      <c r="AI186" s="270">
        <v>363</v>
      </c>
      <c r="AJ186" s="193" t="s">
        <v>92</v>
      </c>
      <c r="AK186" s="193">
        <v>2003</v>
      </c>
      <c r="AL186" s="193">
        <v>2010</v>
      </c>
      <c r="AM186" s="271" t="s">
        <v>126</v>
      </c>
      <c r="AN186" s="271"/>
      <c r="AO186" s="271"/>
      <c r="AP186" s="272">
        <v>39139</v>
      </c>
      <c r="AQ186" s="272"/>
      <c r="AR186" s="272">
        <v>37986</v>
      </c>
      <c r="AS186" s="272">
        <v>37776</v>
      </c>
      <c r="AT186" s="192">
        <v>2003</v>
      </c>
      <c r="AU186" s="314">
        <v>37886</v>
      </c>
      <c r="AV186" s="314" t="s">
        <v>70</v>
      </c>
      <c r="AW186" s="274" t="s">
        <v>70</v>
      </c>
      <c r="AX186" s="272"/>
      <c r="AY186" s="272">
        <v>39213</v>
      </c>
      <c r="AZ186" s="272">
        <v>39378</v>
      </c>
      <c r="BA186" s="272">
        <v>39645</v>
      </c>
      <c r="BB186" s="272">
        <v>39777</v>
      </c>
      <c r="BC186" s="272">
        <v>40503</v>
      </c>
      <c r="BD186" s="272">
        <v>40512</v>
      </c>
      <c r="BE186" s="272">
        <v>40575</v>
      </c>
      <c r="BF186" s="272"/>
      <c r="BG186" s="323"/>
      <c r="BH186" s="285" t="s">
        <v>1539</v>
      </c>
    </row>
    <row r="187" spans="1:60" s="78" customFormat="1" ht="20.100000000000001" customHeight="1">
      <c r="A187" s="190">
        <v>182</v>
      </c>
      <c r="B187" s="193" t="s">
        <v>376</v>
      </c>
      <c r="C187" s="192" t="s">
        <v>68</v>
      </c>
      <c r="D187" s="192" t="s">
        <v>73</v>
      </c>
      <c r="E187" s="192" t="s">
        <v>451</v>
      </c>
      <c r="F187" s="192" t="s">
        <v>452</v>
      </c>
      <c r="G187" s="266">
        <v>20736</v>
      </c>
      <c r="H187" s="193">
        <v>1985</v>
      </c>
      <c r="I187" s="266">
        <v>7</v>
      </c>
      <c r="J187" s="266">
        <f t="shared" si="23"/>
        <v>323</v>
      </c>
      <c r="K187" s="266"/>
      <c r="L187" s="266">
        <v>323</v>
      </c>
      <c r="M187" s="266"/>
      <c r="N187" s="266"/>
      <c r="O187" s="266"/>
      <c r="P187" s="268">
        <f t="shared" si="27"/>
        <v>371</v>
      </c>
      <c r="Q187" s="268">
        <v>351</v>
      </c>
      <c r="R187" s="268"/>
      <c r="S187" s="268">
        <v>20</v>
      </c>
      <c r="T187" s="268">
        <f t="shared" si="26"/>
        <v>371</v>
      </c>
      <c r="U187" s="266">
        <f t="shared" si="25"/>
        <v>351</v>
      </c>
      <c r="V187" s="266"/>
      <c r="W187" s="266"/>
      <c r="X187" s="266">
        <v>351</v>
      </c>
      <c r="Y187" s="266"/>
      <c r="Z187" s="266"/>
      <c r="AA187" s="266">
        <f t="shared" si="28"/>
        <v>20</v>
      </c>
      <c r="AB187" s="266">
        <v>20</v>
      </c>
      <c r="AC187" s="266"/>
      <c r="AD187" s="266"/>
      <c r="AE187" s="266">
        <f t="shared" si="22"/>
        <v>48</v>
      </c>
      <c r="AF187" s="269">
        <v>1.03</v>
      </c>
      <c r="AG187" s="269">
        <v>2.02</v>
      </c>
      <c r="AH187" s="270">
        <v>323</v>
      </c>
      <c r="AI187" s="270">
        <v>323</v>
      </c>
      <c r="AJ187" s="193" t="s">
        <v>92</v>
      </c>
      <c r="AK187" s="306">
        <v>2006</v>
      </c>
      <c r="AL187" s="306">
        <v>2008</v>
      </c>
      <c r="AM187" s="271" t="s">
        <v>126</v>
      </c>
      <c r="AN187" s="271"/>
      <c r="AO187" s="271"/>
      <c r="AP187" s="272">
        <v>38453</v>
      </c>
      <c r="AQ187" s="272"/>
      <c r="AR187" s="272"/>
      <c r="AS187" s="272">
        <v>37426</v>
      </c>
      <c r="AT187" s="192">
        <v>2002</v>
      </c>
      <c r="AU187" s="314">
        <v>37579</v>
      </c>
      <c r="AV187" s="314" t="s">
        <v>70</v>
      </c>
      <c r="AW187" s="274" t="s">
        <v>70</v>
      </c>
      <c r="AX187" s="272"/>
      <c r="AY187" s="272">
        <v>37631</v>
      </c>
      <c r="AZ187" s="272">
        <v>38489</v>
      </c>
      <c r="BA187" s="272">
        <v>38712</v>
      </c>
      <c r="BB187" s="272">
        <v>38834</v>
      </c>
      <c r="BC187" s="272">
        <v>39534</v>
      </c>
      <c r="BD187" s="272">
        <v>39646</v>
      </c>
      <c r="BE187" s="272">
        <v>39731</v>
      </c>
      <c r="BF187" s="272"/>
      <c r="BG187" s="323"/>
      <c r="BH187" s="285" t="s">
        <v>1539</v>
      </c>
    </row>
    <row r="188" spans="1:60" s="78" customFormat="1" ht="20.100000000000001" customHeight="1">
      <c r="A188" s="190">
        <v>183</v>
      </c>
      <c r="B188" s="193" t="s">
        <v>376</v>
      </c>
      <c r="C188" s="192" t="s">
        <v>68</v>
      </c>
      <c r="D188" s="192" t="s">
        <v>73</v>
      </c>
      <c r="E188" s="192" t="s">
        <v>453</v>
      </c>
      <c r="F188" s="192" t="s">
        <v>454</v>
      </c>
      <c r="G188" s="266">
        <v>159919</v>
      </c>
      <c r="H188" s="193">
        <v>1982</v>
      </c>
      <c r="I188" s="266">
        <v>60</v>
      </c>
      <c r="J188" s="266">
        <f t="shared" si="23"/>
        <v>2560</v>
      </c>
      <c r="K188" s="266"/>
      <c r="L188" s="266">
        <v>2560</v>
      </c>
      <c r="M188" s="266"/>
      <c r="N188" s="266"/>
      <c r="O188" s="266"/>
      <c r="P188" s="268">
        <f t="shared" si="27"/>
        <v>3090</v>
      </c>
      <c r="Q188" s="268">
        <v>2817</v>
      </c>
      <c r="R188" s="268"/>
      <c r="S188" s="268">
        <v>273</v>
      </c>
      <c r="T188" s="268">
        <f t="shared" si="26"/>
        <v>3090</v>
      </c>
      <c r="U188" s="266">
        <f t="shared" si="25"/>
        <v>2817</v>
      </c>
      <c r="V188" s="266"/>
      <c r="W188" s="266"/>
      <c r="X188" s="266">
        <v>2817</v>
      </c>
      <c r="Y188" s="266"/>
      <c r="Z188" s="266"/>
      <c r="AA188" s="266">
        <f t="shared" si="28"/>
        <v>273</v>
      </c>
      <c r="AB188" s="266">
        <v>273</v>
      </c>
      <c r="AC188" s="266"/>
      <c r="AD188" s="266"/>
      <c r="AE188" s="266">
        <f t="shared" si="22"/>
        <v>530</v>
      </c>
      <c r="AF188" s="269">
        <v>0.71</v>
      </c>
      <c r="AG188" s="269">
        <v>2.44</v>
      </c>
      <c r="AH188" s="270">
        <v>2560</v>
      </c>
      <c r="AI188" s="270">
        <v>2183</v>
      </c>
      <c r="AJ188" s="193" t="s">
        <v>92</v>
      </c>
      <c r="AK188" s="306">
        <v>2004</v>
      </c>
      <c r="AL188" s="306">
        <v>2008</v>
      </c>
      <c r="AM188" s="271" t="s">
        <v>126</v>
      </c>
      <c r="AN188" s="271"/>
      <c r="AO188" s="271"/>
      <c r="AP188" s="272">
        <v>37801</v>
      </c>
      <c r="AQ188" s="272"/>
      <c r="AR188" s="272"/>
      <c r="AS188" s="272"/>
      <c r="AT188" s="192">
        <v>1999</v>
      </c>
      <c r="AU188" s="314">
        <v>36281</v>
      </c>
      <c r="AV188" s="314" t="s">
        <v>70</v>
      </c>
      <c r="AW188" s="274" t="s">
        <v>70</v>
      </c>
      <c r="AX188" s="272"/>
      <c r="AY188" s="272">
        <v>36594</v>
      </c>
      <c r="AZ188" s="272">
        <v>38183</v>
      </c>
      <c r="BA188" s="272">
        <v>38484</v>
      </c>
      <c r="BB188" s="272">
        <v>38681</v>
      </c>
      <c r="BC188" s="272">
        <v>39556</v>
      </c>
      <c r="BD188" s="272">
        <v>39794</v>
      </c>
      <c r="BE188" s="272">
        <v>40021</v>
      </c>
      <c r="BF188" s="272"/>
      <c r="BG188" s="323"/>
      <c r="BH188" s="285" t="s">
        <v>1539</v>
      </c>
    </row>
    <row r="189" spans="1:60" s="78" customFormat="1" ht="20.100000000000001" customHeight="1">
      <c r="A189" s="190">
        <v>184</v>
      </c>
      <c r="B189" s="193" t="s">
        <v>376</v>
      </c>
      <c r="C189" s="192" t="s">
        <v>68</v>
      </c>
      <c r="D189" s="192" t="s">
        <v>73</v>
      </c>
      <c r="E189" s="192" t="s">
        <v>455</v>
      </c>
      <c r="F189" s="192" t="s">
        <v>456</v>
      </c>
      <c r="G189" s="266">
        <v>13517</v>
      </c>
      <c r="H189" s="193">
        <v>1983</v>
      </c>
      <c r="I189" s="266">
        <v>2</v>
      </c>
      <c r="J189" s="266">
        <f t="shared" si="23"/>
        <v>99</v>
      </c>
      <c r="K189" s="266"/>
      <c r="L189" s="266">
        <v>99</v>
      </c>
      <c r="M189" s="266"/>
      <c r="N189" s="266"/>
      <c r="O189" s="266"/>
      <c r="P189" s="268">
        <f t="shared" si="27"/>
        <v>226</v>
      </c>
      <c r="Q189" s="268">
        <v>196</v>
      </c>
      <c r="R189" s="268"/>
      <c r="S189" s="268">
        <v>30</v>
      </c>
      <c r="T189" s="268">
        <f t="shared" si="26"/>
        <v>226</v>
      </c>
      <c r="U189" s="266">
        <f t="shared" si="25"/>
        <v>196</v>
      </c>
      <c r="V189" s="266"/>
      <c r="W189" s="266"/>
      <c r="X189" s="266">
        <v>196</v>
      </c>
      <c r="Y189" s="266"/>
      <c r="Z189" s="266"/>
      <c r="AA189" s="266">
        <f t="shared" si="28"/>
        <v>30</v>
      </c>
      <c r="AB189" s="266">
        <v>30</v>
      </c>
      <c r="AC189" s="266"/>
      <c r="AD189" s="266"/>
      <c r="AE189" s="266">
        <f t="shared" si="22"/>
        <v>127</v>
      </c>
      <c r="AF189" s="269">
        <v>0.73</v>
      </c>
      <c r="AG189" s="269">
        <v>2</v>
      </c>
      <c r="AH189" s="270">
        <v>99</v>
      </c>
      <c r="AI189" s="270">
        <v>76</v>
      </c>
      <c r="AJ189" s="193" t="s">
        <v>92</v>
      </c>
      <c r="AK189" s="306">
        <v>2006</v>
      </c>
      <c r="AL189" s="306">
        <v>2009</v>
      </c>
      <c r="AM189" s="271" t="s">
        <v>126</v>
      </c>
      <c r="AN189" s="271"/>
      <c r="AO189" s="271"/>
      <c r="AP189" s="272">
        <v>38733</v>
      </c>
      <c r="AQ189" s="272"/>
      <c r="AR189" s="272">
        <v>37965</v>
      </c>
      <c r="AS189" s="272">
        <v>38043</v>
      </c>
      <c r="AT189" s="192">
        <v>2004</v>
      </c>
      <c r="AU189" s="314">
        <v>38152</v>
      </c>
      <c r="AV189" s="314" t="s">
        <v>70</v>
      </c>
      <c r="AW189" s="274" t="s">
        <v>70</v>
      </c>
      <c r="AX189" s="272"/>
      <c r="AY189" s="272">
        <v>38776</v>
      </c>
      <c r="AZ189" s="272">
        <v>38877</v>
      </c>
      <c r="BA189" s="272">
        <v>38982</v>
      </c>
      <c r="BB189" s="272">
        <v>39479</v>
      </c>
      <c r="BC189" s="272">
        <v>40276</v>
      </c>
      <c r="BD189" s="272">
        <v>41058</v>
      </c>
      <c r="BE189" s="272">
        <v>41190</v>
      </c>
      <c r="BF189" s="272"/>
      <c r="BG189" s="323"/>
      <c r="BH189" s="285" t="s">
        <v>1539</v>
      </c>
    </row>
    <row r="190" spans="1:60" s="76" customFormat="1" ht="20.100000000000001" customHeight="1">
      <c r="A190" s="190">
        <v>185</v>
      </c>
      <c r="B190" s="193" t="s">
        <v>376</v>
      </c>
      <c r="C190" s="192" t="s">
        <v>69</v>
      </c>
      <c r="D190" s="192" t="s">
        <v>85</v>
      </c>
      <c r="E190" s="192" t="s">
        <v>457</v>
      </c>
      <c r="F190" s="192" t="s">
        <v>458</v>
      </c>
      <c r="G190" s="266">
        <v>40431.4</v>
      </c>
      <c r="H190" s="193">
        <v>1990</v>
      </c>
      <c r="I190" s="266">
        <v>165</v>
      </c>
      <c r="J190" s="266">
        <f t="shared" si="23"/>
        <v>671</v>
      </c>
      <c r="K190" s="266"/>
      <c r="L190" s="266"/>
      <c r="M190" s="266">
        <v>297</v>
      </c>
      <c r="N190" s="266">
        <v>361</v>
      </c>
      <c r="O190" s="266">
        <v>13</v>
      </c>
      <c r="P190" s="268">
        <f t="shared" si="27"/>
        <v>831</v>
      </c>
      <c r="Q190" s="268">
        <v>268</v>
      </c>
      <c r="R190" s="268">
        <v>496</v>
      </c>
      <c r="S190" s="268">
        <v>67</v>
      </c>
      <c r="T190" s="268">
        <f t="shared" si="26"/>
        <v>831</v>
      </c>
      <c r="U190" s="266">
        <f t="shared" si="25"/>
        <v>764</v>
      </c>
      <c r="V190" s="266"/>
      <c r="W190" s="266">
        <v>407</v>
      </c>
      <c r="X190" s="266">
        <v>354</v>
      </c>
      <c r="Y190" s="266">
        <v>3</v>
      </c>
      <c r="Z190" s="266"/>
      <c r="AA190" s="266">
        <f t="shared" si="28"/>
        <v>67</v>
      </c>
      <c r="AB190" s="266">
        <v>67</v>
      </c>
      <c r="AC190" s="266"/>
      <c r="AD190" s="266"/>
      <c r="AE190" s="266">
        <f t="shared" si="22"/>
        <v>160</v>
      </c>
      <c r="AF190" s="269" t="s">
        <v>196</v>
      </c>
      <c r="AG190" s="269">
        <v>2.63</v>
      </c>
      <c r="AH190" s="270">
        <v>310</v>
      </c>
      <c r="AI190" s="270">
        <v>268</v>
      </c>
      <c r="AJ190" s="193" t="s">
        <v>92</v>
      </c>
      <c r="AK190" s="193">
        <v>2006</v>
      </c>
      <c r="AL190" s="193">
        <v>2021</v>
      </c>
      <c r="AM190" s="271">
        <v>38978</v>
      </c>
      <c r="AN190" s="271"/>
      <c r="AO190" s="272"/>
      <c r="AP190" s="272">
        <v>39804</v>
      </c>
      <c r="AQ190" s="272">
        <v>43297</v>
      </c>
      <c r="AR190" s="272">
        <v>39051</v>
      </c>
      <c r="AS190" s="272"/>
      <c r="AT190" s="272"/>
      <c r="AU190" s="314"/>
      <c r="AV190" s="314" t="s">
        <v>70</v>
      </c>
      <c r="AW190" s="274" t="s">
        <v>70</v>
      </c>
      <c r="AX190" s="272"/>
      <c r="AY190" s="272">
        <v>39941</v>
      </c>
      <c r="AZ190" s="272">
        <v>40245</v>
      </c>
      <c r="BA190" s="275">
        <v>42499</v>
      </c>
      <c r="BB190" s="275">
        <v>43431</v>
      </c>
      <c r="BC190" s="275">
        <v>43432</v>
      </c>
      <c r="BD190" s="275">
        <v>44435</v>
      </c>
      <c r="BE190" s="272">
        <v>44486</v>
      </c>
      <c r="BF190" s="272">
        <v>45101</v>
      </c>
      <c r="BG190" s="323">
        <v>45272</v>
      </c>
      <c r="BH190" s="285" t="s">
        <v>1541</v>
      </c>
    </row>
    <row r="191" spans="1:60" s="61" customFormat="1" ht="20.100000000000001" customHeight="1">
      <c r="A191" s="190">
        <v>186</v>
      </c>
      <c r="B191" s="193" t="s">
        <v>376</v>
      </c>
      <c r="C191" s="192" t="s">
        <v>69</v>
      </c>
      <c r="D191" s="192" t="s">
        <v>85</v>
      </c>
      <c r="E191" s="192" t="s">
        <v>459</v>
      </c>
      <c r="F191" s="192" t="s">
        <v>460</v>
      </c>
      <c r="G191" s="266">
        <v>71669</v>
      </c>
      <c r="H191" s="193">
        <v>1935</v>
      </c>
      <c r="I191" s="266">
        <v>167</v>
      </c>
      <c r="J191" s="266">
        <f t="shared" si="23"/>
        <v>520</v>
      </c>
      <c r="K191" s="266">
        <v>520</v>
      </c>
      <c r="L191" s="266"/>
      <c r="M191" s="266"/>
      <c r="N191" s="266"/>
      <c r="O191" s="266"/>
      <c r="P191" s="268">
        <f t="shared" si="27"/>
        <v>1373</v>
      </c>
      <c r="Q191" s="268">
        <v>208</v>
      </c>
      <c r="R191" s="268">
        <v>955</v>
      </c>
      <c r="S191" s="268">
        <v>210</v>
      </c>
      <c r="T191" s="268">
        <f t="shared" si="26"/>
        <v>1373</v>
      </c>
      <c r="U191" s="266">
        <f t="shared" si="25"/>
        <v>1163</v>
      </c>
      <c r="V191" s="266"/>
      <c r="W191" s="266"/>
      <c r="X191" s="266">
        <v>156</v>
      </c>
      <c r="Y191" s="266">
        <v>768</v>
      </c>
      <c r="Z191" s="266">
        <v>239</v>
      </c>
      <c r="AA191" s="266">
        <f t="shared" si="28"/>
        <v>210</v>
      </c>
      <c r="AB191" s="266"/>
      <c r="AC191" s="266">
        <v>126</v>
      </c>
      <c r="AD191" s="266">
        <v>84</v>
      </c>
      <c r="AE191" s="266">
        <f t="shared" si="22"/>
        <v>853</v>
      </c>
      <c r="AF191" s="269">
        <v>0.95</v>
      </c>
      <c r="AG191" s="269">
        <v>2.5</v>
      </c>
      <c r="AH191" s="270">
        <v>208</v>
      </c>
      <c r="AI191" s="295">
        <v>208</v>
      </c>
      <c r="AJ191" s="193" t="s">
        <v>92</v>
      </c>
      <c r="AK191" s="193">
        <v>2005</v>
      </c>
      <c r="AL191" s="193">
        <v>2012</v>
      </c>
      <c r="AM191" s="271">
        <v>37708</v>
      </c>
      <c r="AN191" s="271"/>
      <c r="AO191" s="272"/>
      <c r="AP191" s="272">
        <v>38715</v>
      </c>
      <c r="AQ191" s="272"/>
      <c r="AR191" s="272">
        <v>37986</v>
      </c>
      <c r="AS191" s="272"/>
      <c r="AT191" s="272"/>
      <c r="AU191" s="314"/>
      <c r="AV191" s="314" t="s">
        <v>70</v>
      </c>
      <c r="AW191" s="274" t="s">
        <v>70</v>
      </c>
      <c r="AX191" s="272"/>
      <c r="AY191" s="272">
        <v>38819</v>
      </c>
      <c r="AZ191" s="272">
        <v>39174</v>
      </c>
      <c r="BA191" s="272">
        <v>39447</v>
      </c>
      <c r="BB191" s="272">
        <v>39752</v>
      </c>
      <c r="BC191" s="272">
        <v>39755</v>
      </c>
      <c r="BD191" s="272">
        <v>40842</v>
      </c>
      <c r="BE191" s="272">
        <v>41015</v>
      </c>
      <c r="BF191" s="272">
        <v>41186</v>
      </c>
      <c r="BG191" s="323">
        <v>42180</v>
      </c>
      <c r="BH191" s="285" t="s">
        <v>1541</v>
      </c>
    </row>
    <row r="192" spans="1:60" s="76" customFormat="1" ht="20.100000000000001" customHeight="1">
      <c r="A192" s="190">
        <v>187</v>
      </c>
      <c r="B192" s="193" t="s">
        <v>376</v>
      </c>
      <c r="C192" s="192" t="s">
        <v>69</v>
      </c>
      <c r="D192" s="192" t="s">
        <v>85</v>
      </c>
      <c r="E192" s="192" t="s">
        <v>461</v>
      </c>
      <c r="F192" s="192" t="s">
        <v>462</v>
      </c>
      <c r="G192" s="266">
        <v>16143</v>
      </c>
      <c r="H192" s="193">
        <v>1990</v>
      </c>
      <c r="I192" s="266">
        <v>85</v>
      </c>
      <c r="J192" s="266">
        <f t="shared" si="23"/>
        <v>114</v>
      </c>
      <c r="K192" s="266"/>
      <c r="L192" s="266"/>
      <c r="M192" s="266">
        <v>114</v>
      </c>
      <c r="N192" s="266"/>
      <c r="O192" s="266"/>
      <c r="P192" s="268">
        <f t="shared" si="27"/>
        <v>339</v>
      </c>
      <c r="Q192" s="268">
        <v>71</v>
      </c>
      <c r="R192" s="268">
        <v>240</v>
      </c>
      <c r="S192" s="268">
        <v>28</v>
      </c>
      <c r="T192" s="268">
        <f t="shared" si="26"/>
        <v>339</v>
      </c>
      <c r="U192" s="266">
        <f t="shared" si="25"/>
        <v>311</v>
      </c>
      <c r="V192" s="266"/>
      <c r="W192" s="266">
        <v>103</v>
      </c>
      <c r="X192" s="266">
        <v>208</v>
      </c>
      <c r="Y192" s="266"/>
      <c r="Z192" s="266"/>
      <c r="AA192" s="266">
        <f t="shared" si="28"/>
        <v>28</v>
      </c>
      <c r="AB192" s="266">
        <v>11</v>
      </c>
      <c r="AC192" s="266">
        <v>17</v>
      </c>
      <c r="AD192" s="266"/>
      <c r="AE192" s="266">
        <f t="shared" si="22"/>
        <v>225</v>
      </c>
      <c r="AF192" s="269" t="s">
        <v>196</v>
      </c>
      <c r="AG192" s="269">
        <v>2.8</v>
      </c>
      <c r="AH192" s="270">
        <v>113</v>
      </c>
      <c r="AI192" s="270">
        <v>71</v>
      </c>
      <c r="AJ192" s="193" t="s">
        <v>92</v>
      </c>
      <c r="AK192" s="193">
        <v>2006</v>
      </c>
      <c r="AL192" s="193">
        <v>2020</v>
      </c>
      <c r="AM192" s="271">
        <v>38978</v>
      </c>
      <c r="AN192" s="271"/>
      <c r="AO192" s="272"/>
      <c r="AP192" s="272">
        <v>39853</v>
      </c>
      <c r="AQ192" s="272">
        <v>42513</v>
      </c>
      <c r="AR192" s="272">
        <v>39051</v>
      </c>
      <c r="AS192" s="272"/>
      <c r="AT192" s="272"/>
      <c r="AU192" s="314"/>
      <c r="AV192" s="314" t="s">
        <v>70</v>
      </c>
      <c r="AW192" s="274" t="s">
        <v>70</v>
      </c>
      <c r="AX192" s="272"/>
      <c r="AY192" s="272">
        <v>40018</v>
      </c>
      <c r="AZ192" s="272">
        <v>40483</v>
      </c>
      <c r="BA192" s="272">
        <v>42368</v>
      </c>
      <c r="BB192" s="272">
        <v>42824</v>
      </c>
      <c r="BC192" s="272">
        <v>42830</v>
      </c>
      <c r="BD192" s="272">
        <v>43796</v>
      </c>
      <c r="BE192" s="272">
        <v>43885</v>
      </c>
      <c r="BF192" s="272">
        <v>44181</v>
      </c>
      <c r="BG192" s="323">
        <v>44560</v>
      </c>
      <c r="BH192" s="285" t="s">
        <v>1541</v>
      </c>
    </row>
    <row r="193" spans="1:60" s="76" customFormat="1" ht="19.5" customHeight="1">
      <c r="A193" s="190">
        <v>188</v>
      </c>
      <c r="B193" s="193" t="s">
        <v>376</v>
      </c>
      <c r="C193" s="192" t="s">
        <v>137</v>
      </c>
      <c r="D193" s="192" t="s">
        <v>85</v>
      </c>
      <c r="E193" s="192" t="s">
        <v>439</v>
      </c>
      <c r="F193" s="192" t="s">
        <v>440</v>
      </c>
      <c r="G193" s="266">
        <v>296082</v>
      </c>
      <c r="H193" s="193">
        <v>1990</v>
      </c>
      <c r="I193" s="266">
        <v>743</v>
      </c>
      <c r="J193" s="266">
        <f>SUM(K193:O193)</f>
        <v>1077</v>
      </c>
      <c r="K193" s="266">
        <v>58</v>
      </c>
      <c r="L193" s="266">
        <v>750</v>
      </c>
      <c r="M193" s="266">
        <v>269</v>
      </c>
      <c r="N193" s="266"/>
      <c r="O193" s="266"/>
      <c r="P193" s="268">
        <f>SUM(Q193:S193)</f>
        <v>3724</v>
      </c>
      <c r="Q193" s="268">
        <v>968</v>
      </c>
      <c r="R193" s="268">
        <v>2567</v>
      </c>
      <c r="S193" s="268">
        <v>189</v>
      </c>
      <c r="T193" s="268">
        <f>U193+AA193</f>
        <v>3724</v>
      </c>
      <c r="U193" s="266">
        <f>SUM(V193:Z193)</f>
        <v>3535</v>
      </c>
      <c r="V193" s="266">
        <v>51</v>
      </c>
      <c r="W193" s="266">
        <v>1719</v>
      </c>
      <c r="X193" s="266">
        <v>1765</v>
      </c>
      <c r="Y193" s="266"/>
      <c r="Z193" s="266"/>
      <c r="AA193" s="266">
        <f>SUM(AB193:AD193)</f>
        <v>189</v>
      </c>
      <c r="AB193" s="266">
        <v>189</v>
      </c>
      <c r="AC193" s="266"/>
      <c r="AD193" s="266"/>
      <c r="AE193" s="266">
        <f>T193-J193</f>
        <v>2647</v>
      </c>
      <c r="AF193" s="269" t="s">
        <v>196</v>
      </c>
      <c r="AG193" s="269">
        <v>2.39</v>
      </c>
      <c r="AH193" s="270">
        <v>1167</v>
      </c>
      <c r="AI193" s="270">
        <v>921</v>
      </c>
      <c r="AJ193" s="193" t="s">
        <v>92</v>
      </c>
      <c r="AK193" s="193">
        <v>2006</v>
      </c>
      <c r="AL193" s="193">
        <v>2023</v>
      </c>
      <c r="AM193" s="271">
        <v>38978</v>
      </c>
      <c r="AN193" s="271">
        <v>39082</v>
      </c>
      <c r="AO193" s="271">
        <v>39954</v>
      </c>
      <c r="AP193" s="272">
        <v>40112</v>
      </c>
      <c r="AQ193" s="272">
        <v>45044</v>
      </c>
      <c r="AR193" s="272">
        <v>38860</v>
      </c>
      <c r="AS193" s="272"/>
      <c r="AT193" s="272"/>
      <c r="AU193" s="314"/>
      <c r="AV193" s="314" t="s">
        <v>70</v>
      </c>
      <c r="AW193" s="274" t="s">
        <v>70</v>
      </c>
      <c r="AX193" s="272"/>
      <c r="AY193" s="272">
        <v>40329</v>
      </c>
      <c r="AZ193" s="272">
        <v>42766</v>
      </c>
      <c r="BA193" s="272">
        <v>43222</v>
      </c>
      <c r="BB193" s="272">
        <v>43339</v>
      </c>
      <c r="BC193" s="272">
        <v>43340</v>
      </c>
      <c r="BD193" s="272">
        <v>45306</v>
      </c>
      <c r="BE193" s="272">
        <v>45355</v>
      </c>
      <c r="BF193" s="275">
        <v>45605</v>
      </c>
      <c r="BG193" s="323"/>
      <c r="BH193" s="285" t="s">
        <v>1541</v>
      </c>
    </row>
    <row r="194" spans="1:60" s="76" customFormat="1" ht="20.100000000000001" customHeight="1">
      <c r="A194" s="195">
        <v>189</v>
      </c>
      <c r="B194" s="196" t="s">
        <v>376</v>
      </c>
      <c r="C194" s="65" t="s">
        <v>137</v>
      </c>
      <c r="D194" s="65" t="s">
        <v>85</v>
      </c>
      <c r="E194" s="65" t="s">
        <v>441</v>
      </c>
      <c r="F194" s="65" t="s">
        <v>442</v>
      </c>
      <c r="G194" s="110">
        <v>42275</v>
      </c>
      <c r="H194" s="196">
        <v>1950</v>
      </c>
      <c r="I194" s="110">
        <v>77</v>
      </c>
      <c r="J194" s="110">
        <f>SUM(K194:O194)</f>
        <v>195</v>
      </c>
      <c r="K194" s="110">
        <v>195</v>
      </c>
      <c r="L194" s="110"/>
      <c r="M194" s="110"/>
      <c r="N194" s="110"/>
      <c r="O194" s="110"/>
      <c r="P194" s="197">
        <f>SUM(Q194:S194)</f>
        <v>620</v>
      </c>
      <c r="Q194" s="197">
        <v>110</v>
      </c>
      <c r="R194" s="197">
        <v>404</v>
      </c>
      <c r="S194" s="197">
        <v>106</v>
      </c>
      <c r="T194" s="197">
        <f>U194+AA194</f>
        <v>620</v>
      </c>
      <c r="U194" s="110">
        <f>SUM(V194:Z194)</f>
        <v>514</v>
      </c>
      <c r="V194" s="110"/>
      <c r="W194" s="110">
        <v>80</v>
      </c>
      <c r="X194" s="110">
        <v>312</v>
      </c>
      <c r="Y194" s="110">
        <v>122</v>
      </c>
      <c r="Z194" s="110"/>
      <c r="AA194" s="110">
        <f>SUM(AB194:AD194)</f>
        <v>106</v>
      </c>
      <c r="AB194" s="110">
        <v>54</v>
      </c>
      <c r="AC194" s="110">
        <v>52</v>
      </c>
      <c r="AD194" s="110"/>
      <c r="AE194" s="110">
        <f>T194-J194</f>
        <v>425</v>
      </c>
      <c r="AF194" s="198">
        <v>0.24</v>
      </c>
      <c r="AG194" s="198">
        <v>2.5</v>
      </c>
      <c r="AH194" s="199">
        <v>110</v>
      </c>
      <c r="AI194" s="213">
        <v>110</v>
      </c>
      <c r="AJ194" s="196" t="s">
        <v>92</v>
      </c>
      <c r="AK194" s="196">
        <v>2005</v>
      </c>
      <c r="AL194" s="196">
        <v>2012</v>
      </c>
      <c r="AM194" s="200">
        <v>37708</v>
      </c>
      <c r="AN194" s="200"/>
      <c r="AO194" s="107"/>
      <c r="AP194" s="107">
        <v>38733</v>
      </c>
      <c r="AQ194" s="107">
        <v>40329</v>
      </c>
      <c r="AR194" s="107">
        <v>37981</v>
      </c>
      <c r="AS194" s="107"/>
      <c r="AT194" s="107"/>
      <c r="AU194" s="218"/>
      <c r="AV194" s="218" t="s">
        <v>70</v>
      </c>
      <c r="AW194" s="204" t="s">
        <v>70</v>
      </c>
      <c r="AX194" s="107"/>
      <c r="AY194" s="107">
        <v>38835</v>
      </c>
      <c r="AZ194" s="107">
        <v>39174</v>
      </c>
      <c r="BA194" s="107">
        <v>39447</v>
      </c>
      <c r="BB194" s="107">
        <v>39752</v>
      </c>
      <c r="BC194" s="107">
        <v>39755</v>
      </c>
      <c r="BD194" s="107">
        <v>40842</v>
      </c>
      <c r="BE194" s="107">
        <v>41099</v>
      </c>
      <c r="BF194" s="107">
        <v>42153</v>
      </c>
      <c r="BG194" s="321"/>
      <c r="BH194" s="285" t="s">
        <v>1541</v>
      </c>
    </row>
    <row r="195" spans="1:60" s="76" customFormat="1" ht="20.100000000000001" customHeight="1">
      <c r="A195" s="195">
        <v>190</v>
      </c>
      <c r="B195" s="196" t="s">
        <v>463</v>
      </c>
      <c r="C195" s="65" t="s">
        <v>72</v>
      </c>
      <c r="D195" s="65" t="s">
        <v>73</v>
      </c>
      <c r="E195" s="65" t="s">
        <v>464</v>
      </c>
      <c r="F195" s="211" t="s">
        <v>465</v>
      </c>
      <c r="G195" s="221">
        <v>20914</v>
      </c>
      <c r="H195" s="196" t="s">
        <v>466</v>
      </c>
      <c r="I195" s="110">
        <v>20</v>
      </c>
      <c r="J195" s="217">
        <f t="shared" si="23"/>
        <v>344</v>
      </c>
      <c r="K195" s="110"/>
      <c r="L195" s="110">
        <v>226</v>
      </c>
      <c r="M195" s="110">
        <v>118</v>
      </c>
      <c r="N195" s="110"/>
      <c r="O195" s="110"/>
      <c r="P195" s="197"/>
      <c r="Q195" s="197"/>
      <c r="R195" s="197"/>
      <c r="S195" s="197"/>
      <c r="T195" s="197">
        <f t="shared" si="26"/>
        <v>0</v>
      </c>
      <c r="U195" s="110"/>
      <c r="V195" s="110"/>
      <c r="W195" s="110"/>
      <c r="X195" s="110"/>
      <c r="Y195" s="110"/>
      <c r="Z195" s="110"/>
      <c r="AA195" s="110"/>
      <c r="AB195" s="110"/>
      <c r="AC195" s="110"/>
      <c r="AD195" s="110"/>
      <c r="AE195" s="110">
        <f t="shared" si="22"/>
        <v>-344</v>
      </c>
      <c r="AF195" s="198">
        <v>1.1000000000000001</v>
      </c>
      <c r="AG195" s="205"/>
      <c r="AH195" s="199"/>
      <c r="AI195" s="199"/>
      <c r="AJ195" s="196"/>
      <c r="AK195" s="196"/>
      <c r="AL195" s="196"/>
      <c r="AM195" s="200">
        <v>44958</v>
      </c>
      <c r="AN195" s="200">
        <v>45291</v>
      </c>
      <c r="AO195" s="200"/>
      <c r="AP195" s="107"/>
      <c r="AQ195" s="107"/>
      <c r="AR195" s="107"/>
      <c r="AS195" s="107">
        <v>45175</v>
      </c>
      <c r="AT195" s="107"/>
      <c r="AU195" s="218"/>
      <c r="AV195" s="218"/>
      <c r="AW195" s="204"/>
      <c r="AX195" s="107"/>
      <c r="AY195" s="107"/>
      <c r="AZ195" s="107"/>
      <c r="BA195" s="107"/>
      <c r="BB195" s="107"/>
      <c r="BC195" s="107"/>
      <c r="BD195" s="107"/>
      <c r="BE195" s="107"/>
      <c r="BF195" s="107"/>
      <c r="BG195" s="321"/>
      <c r="BH195" s="285" t="s">
        <v>1545</v>
      </c>
    </row>
    <row r="196" spans="1:60" s="76" customFormat="1" ht="20.100000000000001" customHeight="1">
      <c r="A196" s="195">
        <v>191</v>
      </c>
      <c r="B196" s="196" t="s">
        <v>463</v>
      </c>
      <c r="C196" s="65" t="s">
        <v>72</v>
      </c>
      <c r="D196" s="65" t="s">
        <v>73</v>
      </c>
      <c r="E196" s="65" t="s">
        <v>467</v>
      </c>
      <c r="F196" s="211" t="s">
        <v>468</v>
      </c>
      <c r="G196" s="221">
        <v>28400.6</v>
      </c>
      <c r="H196" s="196" t="s">
        <v>466</v>
      </c>
      <c r="I196" s="110">
        <v>29</v>
      </c>
      <c r="J196" s="217">
        <f t="shared" si="23"/>
        <v>503</v>
      </c>
      <c r="K196" s="110"/>
      <c r="L196" s="110">
        <v>295</v>
      </c>
      <c r="M196" s="110">
        <v>208</v>
      </c>
      <c r="N196" s="110"/>
      <c r="O196" s="110"/>
      <c r="P196" s="197"/>
      <c r="Q196" s="197"/>
      <c r="R196" s="197"/>
      <c r="S196" s="197"/>
      <c r="T196" s="197">
        <f t="shared" si="26"/>
        <v>0</v>
      </c>
      <c r="U196" s="110"/>
      <c r="V196" s="110"/>
      <c r="W196" s="110"/>
      <c r="X196" s="110"/>
      <c r="Y196" s="110"/>
      <c r="Z196" s="110"/>
      <c r="AA196" s="110"/>
      <c r="AB196" s="110"/>
      <c r="AC196" s="110"/>
      <c r="AD196" s="110"/>
      <c r="AE196" s="110">
        <f t="shared" si="22"/>
        <v>-503</v>
      </c>
      <c r="AF196" s="198">
        <v>1.2210000000000001</v>
      </c>
      <c r="AG196" s="205"/>
      <c r="AH196" s="199"/>
      <c r="AI196" s="199"/>
      <c r="AJ196" s="196"/>
      <c r="AK196" s="196"/>
      <c r="AL196" s="196"/>
      <c r="AM196" s="200">
        <v>44958</v>
      </c>
      <c r="AN196" s="200">
        <v>45291</v>
      </c>
      <c r="AO196" s="200"/>
      <c r="AP196" s="107"/>
      <c r="AQ196" s="107"/>
      <c r="AR196" s="107"/>
      <c r="AS196" s="107">
        <v>45177</v>
      </c>
      <c r="AT196" s="107"/>
      <c r="AU196" s="218"/>
      <c r="AV196" s="218"/>
      <c r="AW196" s="204"/>
      <c r="AX196" s="107"/>
      <c r="AY196" s="107"/>
      <c r="AZ196" s="107"/>
      <c r="BA196" s="107"/>
      <c r="BB196" s="107"/>
      <c r="BC196" s="107"/>
      <c r="BD196" s="107"/>
      <c r="BE196" s="107"/>
      <c r="BF196" s="107"/>
      <c r="BG196" s="321"/>
      <c r="BH196" s="285" t="s">
        <v>1545</v>
      </c>
    </row>
    <row r="197" spans="1:60" s="76" customFormat="1" ht="20.100000000000001" customHeight="1">
      <c r="A197" s="195">
        <v>192</v>
      </c>
      <c r="B197" s="196" t="s">
        <v>463</v>
      </c>
      <c r="C197" s="65" t="s">
        <v>72</v>
      </c>
      <c r="D197" s="65" t="s">
        <v>73</v>
      </c>
      <c r="E197" s="65" t="s">
        <v>469</v>
      </c>
      <c r="F197" s="211" t="s">
        <v>470</v>
      </c>
      <c r="G197" s="221">
        <v>13731.5</v>
      </c>
      <c r="H197" s="196" t="s">
        <v>471</v>
      </c>
      <c r="I197" s="110">
        <v>11</v>
      </c>
      <c r="J197" s="217">
        <f t="shared" si="23"/>
        <v>255</v>
      </c>
      <c r="K197" s="110"/>
      <c r="L197" s="110">
        <v>215</v>
      </c>
      <c r="M197" s="110">
        <v>40</v>
      </c>
      <c r="N197" s="110"/>
      <c r="O197" s="110"/>
      <c r="P197" s="197"/>
      <c r="Q197" s="197"/>
      <c r="R197" s="197"/>
      <c r="S197" s="197"/>
      <c r="T197" s="197">
        <f t="shared" si="26"/>
        <v>0</v>
      </c>
      <c r="U197" s="110"/>
      <c r="V197" s="110"/>
      <c r="W197" s="110"/>
      <c r="X197" s="110"/>
      <c r="Y197" s="110"/>
      <c r="Z197" s="110"/>
      <c r="AA197" s="110"/>
      <c r="AB197" s="110"/>
      <c r="AC197" s="110"/>
      <c r="AD197" s="110"/>
      <c r="AE197" s="110">
        <f t="shared" si="22"/>
        <v>-255</v>
      </c>
      <c r="AF197" s="198">
        <v>1.2589999999999999</v>
      </c>
      <c r="AG197" s="205"/>
      <c r="AH197" s="199"/>
      <c r="AI197" s="199"/>
      <c r="AJ197" s="196"/>
      <c r="AK197" s="196"/>
      <c r="AL197" s="196"/>
      <c r="AM197" s="200">
        <v>44958</v>
      </c>
      <c r="AN197" s="200">
        <v>45291</v>
      </c>
      <c r="AO197" s="200"/>
      <c r="AP197" s="107"/>
      <c r="AQ197" s="107"/>
      <c r="AR197" s="107"/>
      <c r="AS197" s="107">
        <v>45180</v>
      </c>
      <c r="AT197" s="107"/>
      <c r="AU197" s="218">
        <v>45475</v>
      </c>
      <c r="AV197" s="218" t="s">
        <v>79</v>
      </c>
      <c r="AW197" s="204"/>
      <c r="AX197" s="107"/>
      <c r="AY197" s="107"/>
      <c r="AZ197" s="107"/>
      <c r="BA197" s="107"/>
      <c r="BB197" s="107"/>
      <c r="BC197" s="107"/>
      <c r="BD197" s="107"/>
      <c r="BE197" s="107"/>
      <c r="BF197" s="107"/>
      <c r="BG197" s="321"/>
      <c r="BH197" s="285" t="s">
        <v>1546</v>
      </c>
    </row>
    <row r="198" spans="1:60" s="76" customFormat="1" ht="20.100000000000001" customHeight="1">
      <c r="A198" s="195">
        <v>193</v>
      </c>
      <c r="B198" s="196" t="s">
        <v>463</v>
      </c>
      <c r="C198" s="65" t="s">
        <v>72</v>
      </c>
      <c r="D198" s="65" t="s">
        <v>73</v>
      </c>
      <c r="E198" s="65" t="s">
        <v>472</v>
      </c>
      <c r="F198" s="211" t="s">
        <v>473</v>
      </c>
      <c r="G198" s="221">
        <v>11832.9</v>
      </c>
      <c r="H198" s="196" t="s">
        <v>474</v>
      </c>
      <c r="I198" s="110">
        <v>13</v>
      </c>
      <c r="J198" s="217">
        <f t="shared" si="23"/>
        <v>226</v>
      </c>
      <c r="K198" s="110">
        <v>24</v>
      </c>
      <c r="L198" s="110">
        <v>202</v>
      </c>
      <c r="M198" s="110"/>
      <c r="N198" s="110"/>
      <c r="O198" s="110"/>
      <c r="P198" s="197"/>
      <c r="Q198" s="197"/>
      <c r="R198" s="197"/>
      <c r="S198" s="197"/>
      <c r="T198" s="197">
        <f t="shared" si="26"/>
        <v>0</v>
      </c>
      <c r="U198" s="110"/>
      <c r="V198" s="110"/>
      <c r="W198" s="110"/>
      <c r="X198" s="110"/>
      <c r="Y198" s="110"/>
      <c r="Z198" s="110"/>
      <c r="AA198" s="110"/>
      <c r="AB198" s="110"/>
      <c r="AC198" s="110"/>
      <c r="AD198" s="110"/>
      <c r="AE198" s="110">
        <f t="shared" si="22"/>
        <v>-226</v>
      </c>
      <c r="AF198" s="198">
        <v>1.1299999999999999</v>
      </c>
      <c r="AG198" s="205"/>
      <c r="AH198" s="199"/>
      <c r="AI198" s="199"/>
      <c r="AJ198" s="196"/>
      <c r="AK198" s="196"/>
      <c r="AL198" s="196"/>
      <c r="AM198" s="200">
        <v>44958</v>
      </c>
      <c r="AN198" s="200">
        <v>46022</v>
      </c>
      <c r="AO198" s="200"/>
      <c r="AP198" s="107"/>
      <c r="AQ198" s="107"/>
      <c r="AR198" s="107"/>
      <c r="AS198" s="107"/>
      <c r="AT198" s="107"/>
      <c r="AU198" s="218"/>
      <c r="AV198" s="218"/>
      <c r="AW198" s="204"/>
      <c r="AX198" s="107"/>
      <c r="AY198" s="107"/>
      <c r="AZ198" s="107"/>
      <c r="BA198" s="107"/>
      <c r="BB198" s="107"/>
      <c r="BC198" s="107"/>
      <c r="BD198" s="107"/>
      <c r="BE198" s="107"/>
      <c r="BF198" s="107"/>
      <c r="BG198" s="321"/>
      <c r="BH198" s="285" t="s">
        <v>1546</v>
      </c>
    </row>
    <row r="199" spans="1:60" s="76" customFormat="1" ht="20.100000000000001" customHeight="1">
      <c r="A199" s="195">
        <v>194</v>
      </c>
      <c r="B199" s="196" t="s">
        <v>463</v>
      </c>
      <c r="C199" s="65" t="s">
        <v>72</v>
      </c>
      <c r="D199" s="65" t="s">
        <v>73</v>
      </c>
      <c r="E199" s="65" t="s">
        <v>475</v>
      </c>
      <c r="F199" s="211" t="s">
        <v>476</v>
      </c>
      <c r="G199" s="221">
        <v>43479.6</v>
      </c>
      <c r="H199" s="196" t="s">
        <v>477</v>
      </c>
      <c r="I199" s="110">
        <v>18</v>
      </c>
      <c r="J199" s="217">
        <f t="shared" si="23"/>
        <v>770</v>
      </c>
      <c r="K199" s="110"/>
      <c r="L199" s="110"/>
      <c r="M199" s="110">
        <v>590</v>
      </c>
      <c r="N199" s="110">
        <v>180</v>
      </c>
      <c r="O199" s="110"/>
      <c r="P199" s="197"/>
      <c r="Q199" s="197"/>
      <c r="R199" s="197"/>
      <c r="S199" s="197"/>
      <c r="T199" s="197">
        <f t="shared" si="26"/>
        <v>0</v>
      </c>
      <c r="U199" s="110"/>
      <c r="V199" s="110"/>
      <c r="W199" s="110"/>
      <c r="X199" s="110"/>
      <c r="Y199" s="110"/>
      <c r="Z199" s="110"/>
      <c r="AA199" s="110"/>
      <c r="AB199" s="110"/>
      <c r="AC199" s="110"/>
      <c r="AD199" s="110"/>
      <c r="AE199" s="110">
        <f t="shared" si="22"/>
        <v>-770</v>
      </c>
      <c r="AF199" s="198">
        <v>1.714</v>
      </c>
      <c r="AG199" s="205"/>
      <c r="AH199" s="199"/>
      <c r="AI199" s="199"/>
      <c r="AJ199" s="196"/>
      <c r="AK199" s="196"/>
      <c r="AL199" s="196"/>
      <c r="AM199" s="200">
        <v>44958</v>
      </c>
      <c r="AN199" s="200">
        <v>46387</v>
      </c>
      <c r="AO199" s="200"/>
      <c r="AP199" s="107"/>
      <c r="AQ199" s="107"/>
      <c r="AR199" s="107"/>
      <c r="AS199" s="107"/>
      <c r="AT199" s="107"/>
      <c r="AU199" s="218"/>
      <c r="AV199" s="218"/>
      <c r="AW199" s="204"/>
      <c r="AX199" s="107"/>
      <c r="AY199" s="107"/>
      <c r="AZ199" s="107"/>
      <c r="BA199" s="107"/>
      <c r="BB199" s="107"/>
      <c r="BC199" s="107"/>
      <c r="BD199" s="107"/>
      <c r="BE199" s="107"/>
      <c r="BF199" s="107"/>
      <c r="BG199" s="321"/>
      <c r="BH199" s="285" t="s">
        <v>1546</v>
      </c>
    </row>
    <row r="200" spans="1:60" s="76" customFormat="1" ht="20.100000000000001" customHeight="1">
      <c r="A200" s="195">
        <v>195</v>
      </c>
      <c r="B200" s="196" t="s">
        <v>463</v>
      </c>
      <c r="C200" s="65" t="s">
        <v>72</v>
      </c>
      <c r="D200" s="65" t="s">
        <v>73</v>
      </c>
      <c r="E200" s="65" t="s">
        <v>478</v>
      </c>
      <c r="F200" s="211" t="s">
        <v>479</v>
      </c>
      <c r="G200" s="221">
        <v>49265.1</v>
      </c>
      <c r="H200" s="196">
        <v>1990</v>
      </c>
      <c r="I200" s="110">
        <v>15</v>
      </c>
      <c r="J200" s="217">
        <f t="shared" si="23"/>
        <v>1080</v>
      </c>
      <c r="K200" s="110"/>
      <c r="L200" s="110">
        <v>390</v>
      </c>
      <c r="M200" s="110">
        <v>600</v>
      </c>
      <c r="N200" s="110">
        <v>90</v>
      </c>
      <c r="O200" s="110"/>
      <c r="P200" s="197"/>
      <c r="Q200" s="197"/>
      <c r="R200" s="197"/>
      <c r="S200" s="197"/>
      <c r="T200" s="197">
        <f t="shared" si="26"/>
        <v>0</v>
      </c>
      <c r="U200" s="110"/>
      <c r="V200" s="110"/>
      <c r="W200" s="110"/>
      <c r="X200" s="110"/>
      <c r="Y200" s="110"/>
      <c r="Z200" s="110"/>
      <c r="AA200" s="110"/>
      <c r="AB200" s="110"/>
      <c r="AC200" s="110"/>
      <c r="AD200" s="110"/>
      <c r="AE200" s="110">
        <f t="shared" si="22"/>
        <v>-1080</v>
      </c>
      <c r="AF200" s="198">
        <v>1.9119999999999999</v>
      </c>
      <c r="AG200" s="205"/>
      <c r="AH200" s="199"/>
      <c r="AI200" s="199"/>
      <c r="AJ200" s="196"/>
      <c r="AK200" s="196"/>
      <c r="AL200" s="196"/>
      <c r="AM200" s="200">
        <v>44958</v>
      </c>
      <c r="AN200" s="200">
        <v>46387</v>
      </c>
      <c r="AO200" s="200"/>
      <c r="AP200" s="107"/>
      <c r="AQ200" s="107"/>
      <c r="AR200" s="107"/>
      <c r="AS200" s="107"/>
      <c r="AT200" s="107"/>
      <c r="AU200" s="218"/>
      <c r="AV200" s="218"/>
      <c r="AW200" s="204"/>
      <c r="AX200" s="107"/>
      <c r="AY200" s="107"/>
      <c r="AZ200" s="107"/>
      <c r="BA200" s="107"/>
      <c r="BB200" s="107"/>
      <c r="BC200" s="107"/>
      <c r="BD200" s="107"/>
      <c r="BE200" s="107"/>
      <c r="BF200" s="107"/>
      <c r="BG200" s="321"/>
      <c r="BH200" s="285" t="s">
        <v>1546</v>
      </c>
    </row>
    <row r="201" spans="1:60" s="76" customFormat="1" ht="20.100000000000001" customHeight="1">
      <c r="A201" s="195">
        <v>196</v>
      </c>
      <c r="B201" s="196" t="s">
        <v>463</v>
      </c>
      <c r="C201" s="65" t="s">
        <v>72</v>
      </c>
      <c r="D201" s="65" t="s">
        <v>73</v>
      </c>
      <c r="E201" s="65" t="s">
        <v>480</v>
      </c>
      <c r="F201" s="211" t="s">
        <v>481</v>
      </c>
      <c r="G201" s="221">
        <v>118871.1</v>
      </c>
      <c r="H201" s="196" t="s">
        <v>482</v>
      </c>
      <c r="I201" s="110">
        <v>38</v>
      </c>
      <c r="J201" s="217">
        <f t="shared" si="23"/>
        <v>1870</v>
      </c>
      <c r="K201" s="110"/>
      <c r="L201" s="110">
        <v>530</v>
      </c>
      <c r="M201" s="110">
        <v>992</v>
      </c>
      <c r="N201" s="110">
        <v>142</v>
      </c>
      <c r="O201" s="110">
        <v>206</v>
      </c>
      <c r="P201" s="197"/>
      <c r="Q201" s="197"/>
      <c r="R201" s="197"/>
      <c r="S201" s="197"/>
      <c r="T201" s="197">
        <f t="shared" si="26"/>
        <v>0</v>
      </c>
      <c r="U201" s="110"/>
      <c r="V201" s="110"/>
      <c r="W201" s="110"/>
      <c r="X201" s="110"/>
      <c r="Y201" s="110"/>
      <c r="Z201" s="110"/>
      <c r="AA201" s="110"/>
      <c r="AB201" s="110"/>
      <c r="AC201" s="110"/>
      <c r="AD201" s="110"/>
      <c r="AE201" s="110">
        <f t="shared" si="22"/>
        <v>-1870</v>
      </c>
      <c r="AF201" s="198">
        <v>1.669</v>
      </c>
      <c r="AG201" s="205"/>
      <c r="AH201" s="199"/>
      <c r="AI201" s="199"/>
      <c r="AJ201" s="196"/>
      <c r="AK201" s="196"/>
      <c r="AL201" s="196"/>
      <c r="AM201" s="200">
        <v>44958</v>
      </c>
      <c r="AN201" s="200">
        <v>46752</v>
      </c>
      <c r="AO201" s="200"/>
      <c r="AP201" s="107"/>
      <c r="AQ201" s="107"/>
      <c r="AR201" s="107"/>
      <c r="AS201" s="107"/>
      <c r="AT201" s="107"/>
      <c r="AU201" s="218"/>
      <c r="AV201" s="218"/>
      <c r="AW201" s="204"/>
      <c r="AX201" s="107"/>
      <c r="AY201" s="107"/>
      <c r="AZ201" s="107"/>
      <c r="BA201" s="107"/>
      <c r="BB201" s="107"/>
      <c r="BC201" s="107"/>
      <c r="BD201" s="107"/>
      <c r="BE201" s="107"/>
      <c r="BF201" s="107"/>
      <c r="BG201" s="321"/>
      <c r="BH201" s="285" t="s">
        <v>1546</v>
      </c>
    </row>
    <row r="202" spans="1:60" s="76" customFormat="1" ht="20.100000000000001" customHeight="1">
      <c r="A202" s="195">
        <v>197</v>
      </c>
      <c r="B202" s="196" t="s">
        <v>463</v>
      </c>
      <c r="C202" s="65" t="s">
        <v>72</v>
      </c>
      <c r="D202" s="65" t="s">
        <v>73</v>
      </c>
      <c r="E202" s="65" t="s">
        <v>483</v>
      </c>
      <c r="F202" s="211" t="s">
        <v>484</v>
      </c>
      <c r="G202" s="221">
        <v>97742.7</v>
      </c>
      <c r="H202" s="196">
        <v>1992</v>
      </c>
      <c r="I202" s="110">
        <v>34</v>
      </c>
      <c r="J202" s="217">
        <f t="shared" si="23"/>
        <v>2040</v>
      </c>
      <c r="K202" s="110">
        <v>180</v>
      </c>
      <c r="L202" s="110">
        <v>600</v>
      </c>
      <c r="M202" s="110">
        <v>966</v>
      </c>
      <c r="N202" s="110">
        <v>128</v>
      </c>
      <c r="O202" s="110">
        <v>166</v>
      </c>
      <c r="P202" s="197"/>
      <c r="Q202" s="197"/>
      <c r="R202" s="197"/>
      <c r="S202" s="197"/>
      <c r="T202" s="197">
        <f t="shared" si="26"/>
        <v>0</v>
      </c>
      <c r="U202" s="110"/>
      <c r="V202" s="110"/>
      <c r="W202" s="110"/>
      <c r="X202" s="110"/>
      <c r="Y202" s="110"/>
      <c r="Z202" s="110"/>
      <c r="AA202" s="110"/>
      <c r="AB202" s="110"/>
      <c r="AC202" s="110"/>
      <c r="AD202" s="110"/>
      <c r="AE202" s="110">
        <f t="shared" si="22"/>
        <v>-2040</v>
      </c>
      <c r="AF202" s="198">
        <v>1.865</v>
      </c>
      <c r="AG202" s="205"/>
      <c r="AH202" s="199"/>
      <c r="AI202" s="199"/>
      <c r="AJ202" s="196"/>
      <c r="AK202" s="196"/>
      <c r="AL202" s="196"/>
      <c r="AM202" s="200">
        <v>44958</v>
      </c>
      <c r="AN202" s="200">
        <v>46752</v>
      </c>
      <c r="AO202" s="200"/>
      <c r="AP202" s="107"/>
      <c r="AQ202" s="107"/>
      <c r="AR202" s="107"/>
      <c r="AS202" s="107"/>
      <c r="AT202" s="107"/>
      <c r="AU202" s="218"/>
      <c r="AV202" s="218"/>
      <c r="AW202" s="204"/>
      <c r="AX202" s="107"/>
      <c r="AY202" s="107"/>
      <c r="AZ202" s="107"/>
      <c r="BA202" s="107"/>
      <c r="BB202" s="107"/>
      <c r="BC202" s="107"/>
      <c r="BD202" s="107"/>
      <c r="BE202" s="107"/>
      <c r="BF202" s="107"/>
      <c r="BG202" s="321"/>
      <c r="BH202" s="285" t="s">
        <v>1546</v>
      </c>
    </row>
    <row r="203" spans="1:60" s="76" customFormat="1" ht="20.100000000000001" customHeight="1">
      <c r="A203" s="195">
        <v>198</v>
      </c>
      <c r="B203" s="196" t="s">
        <v>463</v>
      </c>
      <c r="C203" s="65" t="s">
        <v>72</v>
      </c>
      <c r="D203" s="65" t="s">
        <v>73</v>
      </c>
      <c r="E203" s="65" t="s">
        <v>485</v>
      </c>
      <c r="F203" s="211" t="s">
        <v>486</v>
      </c>
      <c r="G203" s="221">
        <v>55461.4</v>
      </c>
      <c r="H203" s="196">
        <v>1990</v>
      </c>
      <c r="I203" s="110">
        <v>23</v>
      </c>
      <c r="J203" s="217">
        <f t="shared" si="23"/>
        <v>1362</v>
      </c>
      <c r="K203" s="110">
        <v>4</v>
      </c>
      <c r="L203" s="110">
        <v>240</v>
      </c>
      <c r="M203" s="110">
        <v>1006</v>
      </c>
      <c r="N203" s="110">
        <v>112</v>
      </c>
      <c r="O203" s="110"/>
      <c r="P203" s="197"/>
      <c r="Q203" s="197"/>
      <c r="R203" s="197"/>
      <c r="S203" s="197"/>
      <c r="T203" s="197">
        <f t="shared" si="26"/>
        <v>0</v>
      </c>
      <c r="U203" s="110"/>
      <c r="V203" s="110"/>
      <c r="W203" s="110"/>
      <c r="X203" s="110"/>
      <c r="Y203" s="110"/>
      <c r="Z203" s="110"/>
      <c r="AA203" s="110"/>
      <c r="AB203" s="110"/>
      <c r="AC203" s="110"/>
      <c r="AD203" s="110"/>
      <c r="AE203" s="110">
        <f t="shared" si="22"/>
        <v>-1362</v>
      </c>
      <c r="AF203" s="198">
        <v>1.9570000000000001</v>
      </c>
      <c r="AG203" s="205"/>
      <c r="AH203" s="199"/>
      <c r="AI203" s="199"/>
      <c r="AJ203" s="196"/>
      <c r="AK203" s="196"/>
      <c r="AL203" s="196"/>
      <c r="AM203" s="200">
        <v>44958</v>
      </c>
      <c r="AN203" s="200">
        <v>46752</v>
      </c>
      <c r="AO203" s="200"/>
      <c r="AP203" s="107"/>
      <c r="AQ203" s="107"/>
      <c r="AR203" s="107"/>
      <c r="AS203" s="107"/>
      <c r="AT203" s="107"/>
      <c r="AU203" s="218"/>
      <c r="AV203" s="218"/>
      <c r="AW203" s="204"/>
      <c r="AX203" s="107"/>
      <c r="AY203" s="107"/>
      <c r="AZ203" s="107"/>
      <c r="BA203" s="107"/>
      <c r="BB203" s="107"/>
      <c r="BC203" s="107"/>
      <c r="BD203" s="107"/>
      <c r="BE203" s="107"/>
      <c r="BF203" s="107"/>
      <c r="BG203" s="321"/>
      <c r="BH203" s="285" t="s">
        <v>1546</v>
      </c>
    </row>
    <row r="204" spans="1:60" s="76" customFormat="1" ht="20.100000000000001" customHeight="1">
      <c r="A204" s="195">
        <v>199</v>
      </c>
      <c r="B204" s="196" t="s">
        <v>463</v>
      </c>
      <c r="C204" s="65" t="s">
        <v>72</v>
      </c>
      <c r="D204" s="65" t="s">
        <v>73</v>
      </c>
      <c r="E204" s="65" t="s">
        <v>487</v>
      </c>
      <c r="F204" s="211" t="s">
        <v>488</v>
      </c>
      <c r="G204" s="221">
        <v>35327.9</v>
      </c>
      <c r="H204" s="196">
        <v>1991</v>
      </c>
      <c r="I204" s="110">
        <v>11</v>
      </c>
      <c r="J204" s="217">
        <f t="shared" si="23"/>
        <v>672</v>
      </c>
      <c r="K204" s="110"/>
      <c r="L204" s="110"/>
      <c r="M204" s="110">
        <v>552</v>
      </c>
      <c r="N204" s="110">
        <v>60</v>
      </c>
      <c r="O204" s="110">
        <v>60</v>
      </c>
      <c r="P204" s="197"/>
      <c r="Q204" s="197"/>
      <c r="R204" s="197"/>
      <c r="S204" s="197"/>
      <c r="T204" s="197">
        <f t="shared" si="26"/>
        <v>0</v>
      </c>
      <c r="U204" s="110"/>
      <c r="V204" s="110"/>
      <c r="W204" s="110"/>
      <c r="X204" s="110"/>
      <c r="Y204" s="110"/>
      <c r="Z204" s="110"/>
      <c r="AA204" s="110"/>
      <c r="AB204" s="110"/>
      <c r="AC204" s="110"/>
      <c r="AD204" s="110"/>
      <c r="AE204" s="110">
        <f t="shared" si="22"/>
        <v>-672</v>
      </c>
      <c r="AF204" s="198">
        <v>1.83</v>
      </c>
      <c r="AG204" s="205"/>
      <c r="AH204" s="199"/>
      <c r="AI204" s="199"/>
      <c r="AJ204" s="196"/>
      <c r="AK204" s="196"/>
      <c r="AL204" s="196"/>
      <c r="AM204" s="200">
        <v>44958</v>
      </c>
      <c r="AN204" s="200">
        <v>46752</v>
      </c>
      <c r="AO204" s="200"/>
      <c r="AP204" s="107"/>
      <c r="AQ204" s="107"/>
      <c r="AR204" s="107"/>
      <c r="AS204" s="107"/>
      <c r="AT204" s="107"/>
      <c r="AU204" s="218"/>
      <c r="AV204" s="218"/>
      <c r="AW204" s="204"/>
      <c r="AX204" s="107"/>
      <c r="AY204" s="107"/>
      <c r="AZ204" s="107"/>
      <c r="BA204" s="107"/>
      <c r="BB204" s="107"/>
      <c r="BC204" s="107"/>
      <c r="BD204" s="107"/>
      <c r="BE204" s="107"/>
      <c r="BF204" s="107"/>
      <c r="BG204" s="321"/>
      <c r="BH204" s="285" t="s">
        <v>1546</v>
      </c>
    </row>
    <row r="205" spans="1:60" s="76" customFormat="1" ht="20.100000000000001" customHeight="1">
      <c r="A205" s="195">
        <v>200</v>
      </c>
      <c r="B205" s="196" t="s">
        <v>463</v>
      </c>
      <c r="C205" s="65" t="s">
        <v>72</v>
      </c>
      <c r="D205" s="65" t="s">
        <v>73</v>
      </c>
      <c r="E205" s="65" t="s">
        <v>489</v>
      </c>
      <c r="F205" s="211" t="s">
        <v>490</v>
      </c>
      <c r="G205" s="221">
        <v>57160.1</v>
      </c>
      <c r="H205" s="196" t="s">
        <v>491</v>
      </c>
      <c r="I205" s="110">
        <v>14</v>
      </c>
      <c r="J205" s="217">
        <f t="shared" si="23"/>
        <v>626</v>
      </c>
      <c r="K205" s="110"/>
      <c r="L205" s="110">
        <v>50</v>
      </c>
      <c r="M205" s="110">
        <v>330</v>
      </c>
      <c r="N205" s="110">
        <v>90</v>
      </c>
      <c r="O205" s="110">
        <v>156</v>
      </c>
      <c r="P205" s="197"/>
      <c r="Q205" s="197"/>
      <c r="R205" s="197"/>
      <c r="S205" s="197"/>
      <c r="T205" s="197">
        <f t="shared" si="26"/>
        <v>0</v>
      </c>
      <c r="U205" s="110"/>
      <c r="V205" s="110"/>
      <c r="W205" s="110"/>
      <c r="X205" s="110"/>
      <c r="Y205" s="110"/>
      <c r="Z205" s="110"/>
      <c r="AA205" s="110"/>
      <c r="AB205" s="110"/>
      <c r="AC205" s="110"/>
      <c r="AD205" s="110"/>
      <c r="AE205" s="110">
        <f t="shared" si="22"/>
        <v>-626</v>
      </c>
      <c r="AF205" s="198">
        <v>1.46</v>
      </c>
      <c r="AG205" s="205"/>
      <c r="AH205" s="199"/>
      <c r="AI205" s="199"/>
      <c r="AJ205" s="196"/>
      <c r="AK205" s="196"/>
      <c r="AL205" s="196"/>
      <c r="AM205" s="200">
        <v>44958</v>
      </c>
      <c r="AN205" s="200">
        <v>46752</v>
      </c>
      <c r="AO205" s="200"/>
      <c r="AP205" s="107"/>
      <c r="AQ205" s="107"/>
      <c r="AR205" s="107"/>
      <c r="AS205" s="107"/>
      <c r="AT205" s="107"/>
      <c r="AU205" s="218"/>
      <c r="AV205" s="218"/>
      <c r="AW205" s="204"/>
      <c r="AX205" s="107"/>
      <c r="AY205" s="107"/>
      <c r="AZ205" s="107"/>
      <c r="BA205" s="107"/>
      <c r="BB205" s="107"/>
      <c r="BC205" s="107"/>
      <c r="BD205" s="107"/>
      <c r="BE205" s="107"/>
      <c r="BF205" s="107"/>
      <c r="BG205" s="321"/>
      <c r="BH205" s="285" t="s">
        <v>1546</v>
      </c>
    </row>
    <row r="206" spans="1:60" s="76" customFormat="1" ht="20.100000000000001" customHeight="1">
      <c r="A206" s="195">
        <v>201</v>
      </c>
      <c r="B206" s="196" t="s">
        <v>463</v>
      </c>
      <c r="C206" s="65" t="s">
        <v>72</v>
      </c>
      <c r="D206" s="65" t="s">
        <v>73</v>
      </c>
      <c r="E206" s="65" t="s">
        <v>492</v>
      </c>
      <c r="F206" s="211" t="s">
        <v>493</v>
      </c>
      <c r="G206" s="221">
        <v>56532.800000000003</v>
      </c>
      <c r="H206" s="196" t="s">
        <v>494</v>
      </c>
      <c r="I206" s="110">
        <v>15</v>
      </c>
      <c r="J206" s="217">
        <f t="shared" ref="J206:J236" si="29">SUM(K206:O206)</f>
        <v>1210</v>
      </c>
      <c r="K206" s="110">
        <v>250</v>
      </c>
      <c r="L206" s="110">
        <v>960</v>
      </c>
      <c r="M206" s="110"/>
      <c r="N206" s="110"/>
      <c r="O206" s="110"/>
      <c r="P206" s="197"/>
      <c r="Q206" s="197"/>
      <c r="R206" s="197"/>
      <c r="S206" s="197"/>
      <c r="T206" s="197">
        <f t="shared" si="26"/>
        <v>0</v>
      </c>
      <c r="U206" s="110"/>
      <c r="V206" s="110"/>
      <c r="W206" s="110"/>
      <c r="X206" s="110"/>
      <c r="Y206" s="110"/>
      <c r="Z206" s="110"/>
      <c r="AA206" s="110"/>
      <c r="AB206" s="110"/>
      <c r="AC206" s="110"/>
      <c r="AD206" s="110"/>
      <c r="AE206" s="110">
        <f t="shared" si="22"/>
        <v>-1210</v>
      </c>
      <c r="AF206" s="198">
        <v>1.1859999999999999</v>
      </c>
      <c r="AG206" s="205"/>
      <c r="AH206" s="199"/>
      <c r="AI206" s="199"/>
      <c r="AJ206" s="196"/>
      <c r="AK206" s="196"/>
      <c r="AL206" s="196"/>
      <c r="AM206" s="200">
        <v>44958</v>
      </c>
      <c r="AN206" s="200">
        <v>47118</v>
      </c>
      <c r="AO206" s="200"/>
      <c r="AP206" s="107"/>
      <c r="AQ206" s="107"/>
      <c r="AR206" s="107"/>
      <c r="AS206" s="107"/>
      <c r="AT206" s="107"/>
      <c r="AU206" s="218"/>
      <c r="AV206" s="218"/>
      <c r="AW206" s="204"/>
      <c r="AX206" s="107"/>
      <c r="AY206" s="107"/>
      <c r="AZ206" s="107"/>
      <c r="BA206" s="107"/>
      <c r="BB206" s="107"/>
      <c r="BC206" s="107"/>
      <c r="BD206" s="107"/>
      <c r="BE206" s="107"/>
      <c r="BF206" s="107"/>
      <c r="BG206" s="321"/>
      <c r="BH206" s="285" t="s">
        <v>1546</v>
      </c>
    </row>
    <row r="207" spans="1:60" s="76" customFormat="1" ht="20.100000000000001" customHeight="1">
      <c r="A207" s="195">
        <v>202</v>
      </c>
      <c r="B207" s="196" t="s">
        <v>463</v>
      </c>
      <c r="C207" s="65" t="s">
        <v>72</v>
      </c>
      <c r="D207" s="65" t="s">
        <v>73</v>
      </c>
      <c r="E207" s="65" t="s">
        <v>495</v>
      </c>
      <c r="F207" s="211" t="s">
        <v>496</v>
      </c>
      <c r="G207" s="221">
        <v>38280.699999999997</v>
      </c>
      <c r="H207" s="196">
        <v>1993</v>
      </c>
      <c r="I207" s="110">
        <v>14</v>
      </c>
      <c r="J207" s="217">
        <f t="shared" si="29"/>
        <v>860</v>
      </c>
      <c r="K207" s="110">
        <v>190</v>
      </c>
      <c r="L207" s="110">
        <v>670</v>
      </c>
      <c r="M207" s="110"/>
      <c r="N207" s="110"/>
      <c r="O207" s="110"/>
      <c r="P207" s="197"/>
      <c r="Q207" s="197"/>
      <c r="R207" s="197"/>
      <c r="S207" s="197"/>
      <c r="T207" s="197">
        <f t="shared" si="26"/>
        <v>0</v>
      </c>
      <c r="U207" s="110"/>
      <c r="V207" s="110"/>
      <c r="W207" s="110"/>
      <c r="X207" s="110"/>
      <c r="Y207" s="110"/>
      <c r="Z207" s="110"/>
      <c r="AA207" s="110"/>
      <c r="AB207" s="110"/>
      <c r="AC207" s="110"/>
      <c r="AD207" s="110"/>
      <c r="AE207" s="110">
        <f t="shared" si="22"/>
        <v>-860</v>
      </c>
      <c r="AF207" s="198">
        <v>1.272</v>
      </c>
      <c r="AG207" s="205"/>
      <c r="AH207" s="199"/>
      <c r="AI207" s="199"/>
      <c r="AJ207" s="196"/>
      <c r="AK207" s="196"/>
      <c r="AL207" s="196"/>
      <c r="AM207" s="200">
        <v>44958</v>
      </c>
      <c r="AN207" s="200">
        <v>47118</v>
      </c>
      <c r="AO207" s="200"/>
      <c r="AP207" s="107"/>
      <c r="AQ207" s="107"/>
      <c r="AR207" s="107"/>
      <c r="AS207" s="107"/>
      <c r="AT207" s="107"/>
      <c r="AU207" s="218"/>
      <c r="AV207" s="218"/>
      <c r="AW207" s="204"/>
      <c r="AX207" s="107"/>
      <c r="AY207" s="107"/>
      <c r="AZ207" s="107"/>
      <c r="BA207" s="107"/>
      <c r="BB207" s="107"/>
      <c r="BC207" s="107"/>
      <c r="BD207" s="107"/>
      <c r="BE207" s="107"/>
      <c r="BF207" s="107"/>
      <c r="BG207" s="321"/>
      <c r="BH207" s="285" t="s">
        <v>1546</v>
      </c>
    </row>
    <row r="208" spans="1:60" s="76" customFormat="1" ht="20.100000000000001" customHeight="1">
      <c r="A208" s="195">
        <v>203</v>
      </c>
      <c r="B208" s="196" t="s">
        <v>463</v>
      </c>
      <c r="C208" s="65" t="s">
        <v>72</v>
      </c>
      <c r="D208" s="65" t="s">
        <v>73</v>
      </c>
      <c r="E208" s="65" t="s">
        <v>497</v>
      </c>
      <c r="F208" s="211" t="s">
        <v>498</v>
      </c>
      <c r="G208" s="221">
        <v>40207.9</v>
      </c>
      <c r="H208" s="196" t="s">
        <v>499</v>
      </c>
      <c r="I208" s="110">
        <v>10</v>
      </c>
      <c r="J208" s="217">
        <f t="shared" si="29"/>
        <v>1585</v>
      </c>
      <c r="K208" s="110">
        <v>500</v>
      </c>
      <c r="L208" s="110">
        <v>1085</v>
      </c>
      <c r="M208" s="110"/>
      <c r="N208" s="110"/>
      <c r="O208" s="110"/>
      <c r="P208" s="197"/>
      <c r="Q208" s="197"/>
      <c r="R208" s="197"/>
      <c r="S208" s="197"/>
      <c r="T208" s="197">
        <f t="shared" si="26"/>
        <v>0</v>
      </c>
      <c r="U208" s="110"/>
      <c r="V208" s="110"/>
      <c r="W208" s="110"/>
      <c r="X208" s="110"/>
      <c r="Y208" s="110"/>
      <c r="Z208" s="110"/>
      <c r="AA208" s="110"/>
      <c r="AB208" s="110"/>
      <c r="AC208" s="110"/>
      <c r="AD208" s="110"/>
      <c r="AE208" s="110">
        <f t="shared" si="22"/>
        <v>-1585</v>
      </c>
      <c r="AF208" s="198">
        <v>2.3029999999999999</v>
      </c>
      <c r="AG208" s="205"/>
      <c r="AH208" s="199"/>
      <c r="AI208" s="199"/>
      <c r="AJ208" s="196"/>
      <c r="AK208" s="196"/>
      <c r="AL208" s="196"/>
      <c r="AM208" s="200">
        <v>44958</v>
      </c>
      <c r="AN208" s="200">
        <v>47118</v>
      </c>
      <c r="AO208" s="200"/>
      <c r="AP208" s="107"/>
      <c r="AQ208" s="107"/>
      <c r="AR208" s="107"/>
      <c r="AS208" s="107"/>
      <c r="AT208" s="107"/>
      <c r="AU208" s="218"/>
      <c r="AV208" s="218"/>
      <c r="AW208" s="204"/>
      <c r="AX208" s="107"/>
      <c r="AY208" s="107"/>
      <c r="AZ208" s="107"/>
      <c r="BA208" s="107"/>
      <c r="BB208" s="107"/>
      <c r="BC208" s="107"/>
      <c r="BD208" s="107"/>
      <c r="BE208" s="107"/>
      <c r="BF208" s="107"/>
      <c r="BG208" s="321"/>
      <c r="BH208" s="285" t="s">
        <v>1546</v>
      </c>
    </row>
    <row r="209" spans="1:60" s="76" customFormat="1" ht="20.100000000000001" customHeight="1">
      <c r="A209" s="195">
        <v>204</v>
      </c>
      <c r="B209" s="196" t="s">
        <v>463</v>
      </c>
      <c r="C209" s="65" t="s">
        <v>72</v>
      </c>
      <c r="D209" s="65" t="s">
        <v>73</v>
      </c>
      <c r="E209" s="65" t="s">
        <v>500</v>
      </c>
      <c r="F209" s="211" t="s">
        <v>501</v>
      </c>
      <c r="G209" s="221">
        <v>49026.7</v>
      </c>
      <c r="H209" s="196">
        <v>1994</v>
      </c>
      <c r="I209" s="110">
        <v>15</v>
      </c>
      <c r="J209" s="217">
        <f t="shared" si="29"/>
        <v>598</v>
      </c>
      <c r="K209" s="110"/>
      <c r="L209" s="110">
        <v>30</v>
      </c>
      <c r="M209" s="110">
        <v>276</v>
      </c>
      <c r="N209" s="110">
        <v>144</v>
      </c>
      <c r="O209" s="110">
        <v>148</v>
      </c>
      <c r="P209" s="197"/>
      <c r="Q209" s="197"/>
      <c r="R209" s="197"/>
      <c r="S209" s="197"/>
      <c r="T209" s="197">
        <f t="shared" si="26"/>
        <v>0</v>
      </c>
      <c r="U209" s="110"/>
      <c r="V209" s="110"/>
      <c r="W209" s="110"/>
      <c r="X209" s="110"/>
      <c r="Y209" s="110"/>
      <c r="Z209" s="110"/>
      <c r="AA209" s="110"/>
      <c r="AB209" s="110"/>
      <c r="AC209" s="110"/>
      <c r="AD209" s="110"/>
      <c r="AE209" s="110">
        <f t="shared" si="22"/>
        <v>-598</v>
      </c>
      <c r="AF209" s="198">
        <v>1.575</v>
      </c>
      <c r="AG209" s="205"/>
      <c r="AH209" s="199"/>
      <c r="AI209" s="199"/>
      <c r="AJ209" s="196"/>
      <c r="AK209" s="196"/>
      <c r="AL209" s="196"/>
      <c r="AM209" s="200">
        <v>44958</v>
      </c>
      <c r="AN209" s="200">
        <v>47118</v>
      </c>
      <c r="AO209" s="200"/>
      <c r="AP209" s="107"/>
      <c r="AQ209" s="107"/>
      <c r="AR209" s="107"/>
      <c r="AS209" s="107"/>
      <c r="AT209" s="107"/>
      <c r="AU209" s="218"/>
      <c r="AV209" s="218"/>
      <c r="AW209" s="204"/>
      <c r="AX209" s="107"/>
      <c r="AY209" s="107"/>
      <c r="AZ209" s="107"/>
      <c r="BA209" s="107"/>
      <c r="BB209" s="107"/>
      <c r="BC209" s="107"/>
      <c r="BD209" s="107"/>
      <c r="BE209" s="107"/>
      <c r="BF209" s="107"/>
      <c r="BG209" s="321"/>
      <c r="BH209" s="285" t="s">
        <v>1546</v>
      </c>
    </row>
    <row r="210" spans="1:60" s="76" customFormat="1" ht="20.100000000000001" customHeight="1">
      <c r="A210" s="195">
        <v>205</v>
      </c>
      <c r="B210" s="196" t="s">
        <v>463</v>
      </c>
      <c r="C210" s="65" t="s">
        <v>72</v>
      </c>
      <c r="D210" s="65" t="s">
        <v>73</v>
      </c>
      <c r="E210" s="65" t="s">
        <v>502</v>
      </c>
      <c r="F210" s="211" t="s">
        <v>503</v>
      </c>
      <c r="G210" s="221">
        <v>41460.5</v>
      </c>
      <c r="H210" s="196">
        <v>1994</v>
      </c>
      <c r="I210" s="110">
        <v>12</v>
      </c>
      <c r="J210" s="217">
        <f t="shared" si="29"/>
        <v>550</v>
      </c>
      <c r="K210" s="110"/>
      <c r="L210" s="110">
        <v>40</v>
      </c>
      <c r="M210" s="110">
        <v>284</v>
      </c>
      <c r="N210" s="110">
        <v>140</v>
      </c>
      <c r="O210" s="110">
        <v>86</v>
      </c>
      <c r="P210" s="197"/>
      <c r="Q210" s="197"/>
      <c r="R210" s="197"/>
      <c r="S210" s="197"/>
      <c r="T210" s="197">
        <f t="shared" si="26"/>
        <v>0</v>
      </c>
      <c r="U210" s="110"/>
      <c r="V210" s="110"/>
      <c r="W210" s="110"/>
      <c r="X210" s="110"/>
      <c r="Y210" s="110"/>
      <c r="Z210" s="110"/>
      <c r="AA210" s="110"/>
      <c r="AB210" s="110"/>
      <c r="AC210" s="110"/>
      <c r="AD210" s="110"/>
      <c r="AE210" s="110">
        <f t="shared" si="22"/>
        <v>-550</v>
      </c>
      <c r="AF210" s="198">
        <v>1.5880000000000001</v>
      </c>
      <c r="AG210" s="205"/>
      <c r="AH210" s="199"/>
      <c r="AI210" s="199"/>
      <c r="AJ210" s="196"/>
      <c r="AK210" s="196"/>
      <c r="AL210" s="196"/>
      <c r="AM210" s="200">
        <v>44958</v>
      </c>
      <c r="AN210" s="200">
        <v>47118</v>
      </c>
      <c r="AO210" s="200"/>
      <c r="AP210" s="107"/>
      <c r="AQ210" s="107"/>
      <c r="AR210" s="107"/>
      <c r="AS210" s="107"/>
      <c r="AT210" s="107"/>
      <c r="AU210" s="218"/>
      <c r="AV210" s="218"/>
      <c r="AW210" s="204"/>
      <c r="AX210" s="107"/>
      <c r="AY210" s="107"/>
      <c r="AZ210" s="107"/>
      <c r="BA210" s="107"/>
      <c r="BB210" s="107"/>
      <c r="BC210" s="107"/>
      <c r="BD210" s="107"/>
      <c r="BE210" s="107"/>
      <c r="BF210" s="107"/>
      <c r="BG210" s="321"/>
      <c r="BH210" s="285" t="s">
        <v>1546</v>
      </c>
    </row>
    <row r="211" spans="1:60" s="76" customFormat="1" ht="20.100000000000001" customHeight="1">
      <c r="A211" s="195">
        <v>206</v>
      </c>
      <c r="B211" s="196" t="s">
        <v>463</v>
      </c>
      <c r="C211" s="65" t="s">
        <v>72</v>
      </c>
      <c r="D211" s="65" t="s">
        <v>73</v>
      </c>
      <c r="E211" s="65" t="s">
        <v>504</v>
      </c>
      <c r="F211" s="211" t="s">
        <v>505</v>
      </c>
      <c r="G211" s="221">
        <v>31423.3</v>
      </c>
      <c r="H211" s="196">
        <v>1993</v>
      </c>
      <c r="I211" s="110">
        <v>9</v>
      </c>
      <c r="J211" s="217">
        <f t="shared" si="29"/>
        <v>1086</v>
      </c>
      <c r="K211" s="110">
        <v>312</v>
      </c>
      <c r="L211" s="110">
        <v>774</v>
      </c>
      <c r="M211" s="110"/>
      <c r="N211" s="110"/>
      <c r="O211" s="110"/>
      <c r="P211" s="197"/>
      <c r="Q211" s="197"/>
      <c r="R211" s="197"/>
      <c r="S211" s="197"/>
      <c r="T211" s="197">
        <f t="shared" ref="T211:T242" si="30">U211+AA211</f>
        <v>0</v>
      </c>
      <c r="U211" s="110"/>
      <c r="V211" s="110"/>
      <c r="W211" s="110"/>
      <c r="X211" s="110"/>
      <c r="Y211" s="110"/>
      <c r="Z211" s="110"/>
      <c r="AA211" s="110"/>
      <c r="AB211" s="110"/>
      <c r="AC211" s="110"/>
      <c r="AD211" s="110"/>
      <c r="AE211" s="110">
        <f t="shared" ref="AE211:AE275" si="31">T211-J211</f>
        <v>-1086</v>
      </c>
      <c r="AF211" s="198">
        <v>1.9870000000000001</v>
      </c>
      <c r="AG211" s="205"/>
      <c r="AH211" s="199"/>
      <c r="AI211" s="199"/>
      <c r="AJ211" s="196"/>
      <c r="AK211" s="196"/>
      <c r="AL211" s="196"/>
      <c r="AM211" s="200">
        <v>44958</v>
      </c>
      <c r="AN211" s="200">
        <v>47483</v>
      </c>
      <c r="AO211" s="200"/>
      <c r="AP211" s="107"/>
      <c r="AQ211" s="107"/>
      <c r="AR211" s="107"/>
      <c r="AS211" s="107"/>
      <c r="AT211" s="107"/>
      <c r="AU211" s="218"/>
      <c r="AV211" s="218"/>
      <c r="AW211" s="204"/>
      <c r="AX211" s="107"/>
      <c r="AY211" s="107"/>
      <c r="AZ211" s="107"/>
      <c r="BA211" s="107"/>
      <c r="BB211" s="107"/>
      <c r="BC211" s="107"/>
      <c r="BD211" s="107"/>
      <c r="BE211" s="107"/>
      <c r="BF211" s="107"/>
      <c r="BG211" s="321"/>
      <c r="BH211" s="285" t="s">
        <v>1546</v>
      </c>
    </row>
    <row r="212" spans="1:60" s="76" customFormat="1" ht="20.100000000000001" customHeight="1">
      <c r="A212" s="195">
        <v>207</v>
      </c>
      <c r="B212" s="196" t="s">
        <v>463</v>
      </c>
      <c r="C212" s="65" t="s">
        <v>72</v>
      </c>
      <c r="D212" s="65" t="s">
        <v>73</v>
      </c>
      <c r="E212" s="211" t="s">
        <v>506</v>
      </c>
      <c r="F212" s="211" t="s">
        <v>507</v>
      </c>
      <c r="G212" s="221">
        <v>93107.7</v>
      </c>
      <c r="H212" s="196" t="s">
        <v>508</v>
      </c>
      <c r="I212" s="110">
        <v>33</v>
      </c>
      <c r="J212" s="217">
        <f t="shared" si="29"/>
        <v>1975</v>
      </c>
      <c r="K212" s="110"/>
      <c r="L212" s="110">
        <v>1975</v>
      </c>
      <c r="M212" s="110"/>
      <c r="N212" s="110"/>
      <c r="O212" s="110"/>
      <c r="P212" s="197"/>
      <c r="Q212" s="197"/>
      <c r="R212" s="197"/>
      <c r="S212" s="197"/>
      <c r="T212" s="197">
        <f t="shared" si="30"/>
        <v>0</v>
      </c>
      <c r="U212" s="110"/>
      <c r="V212" s="110"/>
      <c r="W212" s="110"/>
      <c r="X212" s="110"/>
      <c r="Y212" s="110"/>
      <c r="Z212" s="110"/>
      <c r="AA212" s="110"/>
      <c r="AB212" s="110"/>
      <c r="AC212" s="110"/>
      <c r="AD212" s="110"/>
      <c r="AE212" s="110">
        <f t="shared" si="31"/>
        <v>-1975</v>
      </c>
      <c r="AF212" s="198">
        <v>1.4970000000000001</v>
      </c>
      <c r="AG212" s="205"/>
      <c r="AH212" s="199"/>
      <c r="AI212" s="199"/>
      <c r="AJ212" s="196"/>
      <c r="AK212" s="196"/>
      <c r="AL212" s="196"/>
      <c r="AM212" s="200">
        <v>44958</v>
      </c>
      <c r="AN212" s="200">
        <v>47483</v>
      </c>
      <c r="AO212" s="200"/>
      <c r="AP212" s="107"/>
      <c r="AQ212" s="107"/>
      <c r="AR212" s="107"/>
      <c r="AS212" s="107"/>
      <c r="AT212" s="107"/>
      <c r="AU212" s="218"/>
      <c r="AV212" s="218"/>
      <c r="AW212" s="204"/>
      <c r="AX212" s="107"/>
      <c r="AY212" s="107"/>
      <c r="AZ212" s="107"/>
      <c r="BA212" s="107"/>
      <c r="BB212" s="107"/>
      <c r="BC212" s="107"/>
      <c r="BD212" s="107"/>
      <c r="BE212" s="107"/>
      <c r="BF212" s="107"/>
      <c r="BG212" s="321"/>
      <c r="BH212" s="285" t="s">
        <v>1546</v>
      </c>
    </row>
    <row r="213" spans="1:60" s="76" customFormat="1" ht="20.100000000000001" customHeight="1">
      <c r="A213" s="195">
        <v>208</v>
      </c>
      <c r="B213" s="196" t="s">
        <v>463</v>
      </c>
      <c r="C213" s="65" t="s">
        <v>72</v>
      </c>
      <c r="D213" s="65" t="s">
        <v>73</v>
      </c>
      <c r="E213" s="211" t="s">
        <v>509</v>
      </c>
      <c r="F213" s="211" t="s">
        <v>510</v>
      </c>
      <c r="G213" s="221">
        <v>39855.599999999999</v>
      </c>
      <c r="H213" s="196">
        <v>1994</v>
      </c>
      <c r="I213" s="110">
        <v>11</v>
      </c>
      <c r="J213" s="217">
        <f t="shared" si="29"/>
        <v>502</v>
      </c>
      <c r="K213" s="110"/>
      <c r="L213" s="110">
        <v>30</v>
      </c>
      <c r="M213" s="110">
        <v>248</v>
      </c>
      <c r="N213" s="110">
        <v>140</v>
      </c>
      <c r="O213" s="110">
        <v>84</v>
      </c>
      <c r="P213" s="197"/>
      <c r="Q213" s="197"/>
      <c r="R213" s="197"/>
      <c r="S213" s="197"/>
      <c r="T213" s="197">
        <f t="shared" si="30"/>
        <v>0</v>
      </c>
      <c r="U213" s="110"/>
      <c r="V213" s="110"/>
      <c r="W213" s="110"/>
      <c r="X213" s="110"/>
      <c r="Y213" s="110"/>
      <c r="Z213" s="110"/>
      <c r="AA213" s="110"/>
      <c r="AB213" s="110"/>
      <c r="AC213" s="110"/>
      <c r="AD213" s="110"/>
      <c r="AE213" s="110">
        <f t="shared" si="31"/>
        <v>-502</v>
      </c>
      <c r="AF213" s="198">
        <v>1.4790000000000001</v>
      </c>
      <c r="AG213" s="205"/>
      <c r="AH213" s="199"/>
      <c r="AI213" s="199"/>
      <c r="AJ213" s="196"/>
      <c r="AK213" s="196"/>
      <c r="AL213" s="196"/>
      <c r="AM213" s="200">
        <v>44958</v>
      </c>
      <c r="AN213" s="200">
        <v>47483</v>
      </c>
      <c r="AO213" s="200"/>
      <c r="AP213" s="107"/>
      <c r="AQ213" s="107"/>
      <c r="AR213" s="107"/>
      <c r="AS213" s="107"/>
      <c r="AT213" s="107"/>
      <c r="AU213" s="218"/>
      <c r="AV213" s="218"/>
      <c r="AW213" s="204"/>
      <c r="AX213" s="107"/>
      <c r="AY213" s="107"/>
      <c r="AZ213" s="107"/>
      <c r="BA213" s="107"/>
      <c r="BB213" s="107"/>
      <c r="BC213" s="107"/>
      <c r="BD213" s="107"/>
      <c r="BE213" s="107"/>
      <c r="BF213" s="107"/>
      <c r="BG213" s="321"/>
      <c r="BH213" s="285" t="s">
        <v>1546</v>
      </c>
    </row>
    <row r="214" spans="1:60" s="76" customFormat="1" ht="20.100000000000001" customHeight="1">
      <c r="A214" s="195">
        <v>209</v>
      </c>
      <c r="B214" s="196" t="s">
        <v>463</v>
      </c>
      <c r="C214" s="65" t="s">
        <v>72</v>
      </c>
      <c r="D214" s="65" t="s">
        <v>73</v>
      </c>
      <c r="E214" s="211" t="s">
        <v>511</v>
      </c>
      <c r="F214" s="211" t="s">
        <v>512</v>
      </c>
      <c r="G214" s="221">
        <v>49826.6</v>
      </c>
      <c r="H214" s="196">
        <v>1994</v>
      </c>
      <c r="I214" s="110">
        <v>14</v>
      </c>
      <c r="J214" s="217">
        <f t="shared" si="29"/>
        <v>576</v>
      </c>
      <c r="K214" s="110"/>
      <c r="L214" s="110">
        <v>40</v>
      </c>
      <c r="M214" s="110">
        <v>268</v>
      </c>
      <c r="N214" s="110">
        <v>180</v>
      </c>
      <c r="O214" s="110">
        <v>88</v>
      </c>
      <c r="P214" s="197"/>
      <c r="Q214" s="197"/>
      <c r="R214" s="197"/>
      <c r="S214" s="197"/>
      <c r="T214" s="197">
        <f t="shared" si="30"/>
        <v>0</v>
      </c>
      <c r="U214" s="110"/>
      <c r="V214" s="110"/>
      <c r="W214" s="110"/>
      <c r="X214" s="110"/>
      <c r="Y214" s="110"/>
      <c r="Z214" s="110"/>
      <c r="AA214" s="110"/>
      <c r="AB214" s="110"/>
      <c r="AC214" s="110"/>
      <c r="AD214" s="110"/>
      <c r="AE214" s="110">
        <f t="shared" si="31"/>
        <v>-576</v>
      </c>
      <c r="AF214" s="198">
        <v>1.49</v>
      </c>
      <c r="AG214" s="205"/>
      <c r="AH214" s="199"/>
      <c r="AI214" s="199"/>
      <c r="AJ214" s="196"/>
      <c r="AK214" s="196"/>
      <c r="AL214" s="196"/>
      <c r="AM214" s="200">
        <v>44958</v>
      </c>
      <c r="AN214" s="200">
        <v>47483</v>
      </c>
      <c r="AO214" s="200"/>
      <c r="AP214" s="107"/>
      <c r="AQ214" s="107"/>
      <c r="AR214" s="107"/>
      <c r="AS214" s="107"/>
      <c r="AT214" s="107"/>
      <c r="AU214" s="218"/>
      <c r="AV214" s="218"/>
      <c r="AW214" s="204"/>
      <c r="AX214" s="107"/>
      <c r="AY214" s="107"/>
      <c r="AZ214" s="107"/>
      <c r="BA214" s="107"/>
      <c r="BB214" s="107"/>
      <c r="BC214" s="107"/>
      <c r="BD214" s="107"/>
      <c r="BE214" s="107"/>
      <c r="BF214" s="107"/>
      <c r="BG214" s="321"/>
      <c r="BH214" s="285" t="s">
        <v>1546</v>
      </c>
    </row>
    <row r="215" spans="1:60" s="76" customFormat="1" ht="20.100000000000001" customHeight="1">
      <c r="A215" s="195">
        <v>210</v>
      </c>
      <c r="B215" s="196" t="s">
        <v>463</v>
      </c>
      <c r="C215" s="65" t="s">
        <v>72</v>
      </c>
      <c r="D215" s="65" t="s">
        <v>73</v>
      </c>
      <c r="E215" s="211" t="s">
        <v>513</v>
      </c>
      <c r="F215" s="211" t="s">
        <v>514</v>
      </c>
      <c r="G215" s="221">
        <v>38104.5</v>
      </c>
      <c r="H215" s="196">
        <v>1994</v>
      </c>
      <c r="I215" s="110">
        <v>11</v>
      </c>
      <c r="J215" s="217">
        <f t="shared" si="29"/>
        <v>478</v>
      </c>
      <c r="K215" s="110"/>
      <c r="L215" s="110">
        <v>30</v>
      </c>
      <c r="M215" s="110">
        <v>240</v>
      </c>
      <c r="N215" s="110">
        <v>126</v>
      </c>
      <c r="O215" s="110">
        <v>82</v>
      </c>
      <c r="P215" s="197"/>
      <c r="Q215" s="197"/>
      <c r="R215" s="197"/>
      <c r="S215" s="197"/>
      <c r="T215" s="197">
        <f t="shared" si="30"/>
        <v>0</v>
      </c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>
        <f t="shared" si="31"/>
        <v>-478</v>
      </c>
      <c r="AF215" s="198">
        <v>1.494</v>
      </c>
      <c r="AG215" s="205"/>
      <c r="AH215" s="199"/>
      <c r="AI215" s="199"/>
      <c r="AJ215" s="196"/>
      <c r="AK215" s="196"/>
      <c r="AL215" s="196"/>
      <c r="AM215" s="200">
        <v>44958</v>
      </c>
      <c r="AN215" s="200">
        <v>47483</v>
      </c>
      <c r="AO215" s="200"/>
      <c r="AP215" s="107"/>
      <c r="AQ215" s="107"/>
      <c r="AR215" s="107"/>
      <c r="AS215" s="107"/>
      <c r="AT215" s="107"/>
      <c r="AU215" s="218"/>
      <c r="AV215" s="218"/>
      <c r="AW215" s="204"/>
      <c r="AX215" s="107"/>
      <c r="AY215" s="107"/>
      <c r="AZ215" s="107"/>
      <c r="BA215" s="107"/>
      <c r="BB215" s="107"/>
      <c r="BC215" s="107"/>
      <c r="BD215" s="107"/>
      <c r="BE215" s="107"/>
      <c r="BF215" s="107"/>
      <c r="BG215" s="321"/>
      <c r="BH215" s="285" t="s">
        <v>1546</v>
      </c>
    </row>
    <row r="216" spans="1:60" s="76" customFormat="1" ht="20.100000000000001" customHeight="1">
      <c r="A216" s="195">
        <v>211</v>
      </c>
      <c r="B216" s="196" t="s">
        <v>463</v>
      </c>
      <c r="C216" s="65" t="s">
        <v>72</v>
      </c>
      <c r="D216" s="65" t="s">
        <v>73</v>
      </c>
      <c r="E216" s="65" t="s">
        <v>515</v>
      </c>
      <c r="F216" s="65" t="s">
        <v>516</v>
      </c>
      <c r="G216" s="110">
        <v>73400</v>
      </c>
      <c r="H216" s="196">
        <v>1987</v>
      </c>
      <c r="I216" s="110">
        <v>15</v>
      </c>
      <c r="J216" s="110">
        <f t="shared" si="29"/>
        <v>1380</v>
      </c>
      <c r="K216" s="110"/>
      <c r="L216" s="110"/>
      <c r="M216" s="110">
        <v>1380</v>
      </c>
      <c r="N216" s="110"/>
      <c r="O216" s="110"/>
      <c r="P216" s="197"/>
      <c r="Q216" s="197"/>
      <c r="R216" s="197"/>
      <c r="S216" s="197"/>
      <c r="T216" s="197">
        <f t="shared" si="30"/>
        <v>0</v>
      </c>
      <c r="U216" s="110"/>
      <c r="V216" s="110"/>
      <c r="W216" s="110"/>
      <c r="X216" s="110"/>
      <c r="Y216" s="110"/>
      <c r="Z216" s="110"/>
      <c r="AA216" s="110"/>
      <c r="AB216" s="110"/>
      <c r="AC216" s="110"/>
      <c r="AD216" s="110"/>
      <c r="AE216" s="110">
        <f t="shared" si="31"/>
        <v>-1380</v>
      </c>
      <c r="AF216" s="198">
        <v>1.72</v>
      </c>
      <c r="AG216" s="198"/>
      <c r="AH216" s="199"/>
      <c r="AI216" s="199"/>
      <c r="AJ216" s="196"/>
      <c r="AK216" s="196"/>
      <c r="AL216" s="196"/>
      <c r="AM216" s="200">
        <v>41389</v>
      </c>
      <c r="AN216" s="200">
        <v>45291</v>
      </c>
      <c r="AO216" s="107"/>
      <c r="AP216" s="107"/>
      <c r="AQ216" s="107"/>
      <c r="AR216" s="107"/>
      <c r="AS216" s="107">
        <v>45113</v>
      </c>
      <c r="AT216" s="107"/>
      <c r="AU216" s="218"/>
      <c r="AV216" s="218" t="s">
        <v>70</v>
      </c>
      <c r="AW216" s="204" t="s">
        <v>70</v>
      </c>
      <c r="AX216" s="107"/>
      <c r="AY216" s="107"/>
      <c r="AZ216" s="107"/>
      <c r="BA216" s="107"/>
      <c r="BB216" s="107"/>
      <c r="BC216" s="107"/>
      <c r="BD216" s="107"/>
      <c r="BE216" s="107"/>
      <c r="BF216" s="107"/>
      <c r="BG216" s="321"/>
      <c r="BH216" s="285" t="s">
        <v>1545</v>
      </c>
    </row>
    <row r="217" spans="1:60" s="61" customFormat="1" ht="20.100000000000001" customHeight="1">
      <c r="A217" s="195">
        <v>212</v>
      </c>
      <c r="B217" s="196" t="s">
        <v>463</v>
      </c>
      <c r="C217" s="65" t="s">
        <v>72</v>
      </c>
      <c r="D217" s="65" t="s">
        <v>73</v>
      </c>
      <c r="E217" s="65" t="s">
        <v>517</v>
      </c>
      <c r="F217" s="65" t="s">
        <v>518</v>
      </c>
      <c r="G217" s="110">
        <v>53500</v>
      </c>
      <c r="H217" s="196">
        <v>1987</v>
      </c>
      <c r="I217" s="110">
        <v>11</v>
      </c>
      <c r="J217" s="110">
        <f t="shared" si="29"/>
        <v>1020</v>
      </c>
      <c r="K217" s="110"/>
      <c r="L217" s="110">
        <v>240</v>
      </c>
      <c r="M217" s="110">
        <v>780</v>
      </c>
      <c r="N217" s="110"/>
      <c r="O217" s="110"/>
      <c r="P217" s="197"/>
      <c r="Q217" s="197"/>
      <c r="R217" s="197"/>
      <c r="S217" s="197"/>
      <c r="T217" s="197">
        <f t="shared" si="30"/>
        <v>0</v>
      </c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>
        <f t="shared" si="31"/>
        <v>-1020</v>
      </c>
      <c r="AF217" s="198">
        <v>1.68</v>
      </c>
      <c r="AG217" s="198"/>
      <c r="AH217" s="199"/>
      <c r="AI217" s="199"/>
      <c r="AJ217" s="196"/>
      <c r="AK217" s="196"/>
      <c r="AL217" s="196"/>
      <c r="AM217" s="200">
        <v>41389</v>
      </c>
      <c r="AN217" s="200">
        <v>45291</v>
      </c>
      <c r="AO217" s="107"/>
      <c r="AP217" s="107"/>
      <c r="AQ217" s="107"/>
      <c r="AR217" s="107"/>
      <c r="AS217" s="107">
        <v>45104</v>
      </c>
      <c r="AT217" s="107"/>
      <c r="AU217" s="218"/>
      <c r="AV217" s="218" t="s">
        <v>70</v>
      </c>
      <c r="AW217" s="204" t="s">
        <v>70</v>
      </c>
      <c r="AX217" s="107"/>
      <c r="AY217" s="107"/>
      <c r="AZ217" s="107"/>
      <c r="BA217" s="107"/>
      <c r="BB217" s="107"/>
      <c r="BC217" s="107"/>
      <c r="BD217" s="107"/>
      <c r="BE217" s="107"/>
      <c r="BF217" s="107"/>
      <c r="BG217" s="321"/>
      <c r="BH217" s="285" t="s">
        <v>1545</v>
      </c>
    </row>
    <row r="218" spans="1:60" s="61" customFormat="1" ht="20.100000000000001" customHeight="1">
      <c r="A218" s="195">
        <v>213</v>
      </c>
      <c r="B218" s="196" t="s">
        <v>463</v>
      </c>
      <c r="C218" s="65" t="s">
        <v>72</v>
      </c>
      <c r="D218" s="65" t="s">
        <v>73</v>
      </c>
      <c r="E218" s="65" t="s">
        <v>521</v>
      </c>
      <c r="F218" s="65" t="s">
        <v>522</v>
      </c>
      <c r="G218" s="110">
        <v>68400</v>
      </c>
      <c r="H218" s="196">
        <v>1986</v>
      </c>
      <c r="I218" s="110">
        <v>12</v>
      </c>
      <c r="J218" s="110">
        <f>SUM(K218:O218)</f>
        <v>1320</v>
      </c>
      <c r="K218" s="110"/>
      <c r="L218" s="110">
        <v>240</v>
      </c>
      <c r="M218" s="110">
        <v>1080</v>
      </c>
      <c r="N218" s="110"/>
      <c r="O218" s="110"/>
      <c r="P218" s="197"/>
      <c r="Q218" s="197"/>
      <c r="R218" s="197"/>
      <c r="S218" s="197"/>
      <c r="T218" s="197">
        <f>U218+AA218</f>
        <v>0</v>
      </c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>
        <f>T218-J218</f>
        <v>-1320</v>
      </c>
      <c r="AF218" s="198">
        <v>1.77</v>
      </c>
      <c r="AG218" s="198"/>
      <c r="AH218" s="199"/>
      <c r="AI218" s="199"/>
      <c r="AJ218" s="196"/>
      <c r="AK218" s="196"/>
      <c r="AL218" s="196"/>
      <c r="AM218" s="200">
        <v>41389</v>
      </c>
      <c r="AN218" s="200">
        <v>45291</v>
      </c>
      <c r="AO218" s="107"/>
      <c r="AP218" s="107"/>
      <c r="AQ218" s="107"/>
      <c r="AR218" s="107"/>
      <c r="AS218" s="107">
        <v>45667</v>
      </c>
      <c r="AT218" s="107"/>
      <c r="AU218" s="218"/>
      <c r="AV218" s="218" t="s">
        <v>70</v>
      </c>
      <c r="AW218" s="204" t="s">
        <v>70</v>
      </c>
      <c r="AX218" s="107"/>
      <c r="AY218" s="107"/>
      <c r="AZ218" s="107"/>
      <c r="BA218" s="107"/>
      <c r="BB218" s="107"/>
      <c r="BC218" s="107"/>
      <c r="BD218" s="107"/>
      <c r="BE218" s="107"/>
      <c r="BF218" s="107"/>
      <c r="BG218" s="321"/>
      <c r="BH218" s="285" t="s">
        <v>1545</v>
      </c>
    </row>
    <row r="219" spans="1:60" s="61" customFormat="1" ht="20.100000000000001" customHeight="1">
      <c r="A219" s="195">
        <v>214</v>
      </c>
      <c r="B219" s="196" t="s">
        <v>463</v>
      </c>
      <c r="C219" s="65" t="s">
        <v>88</v>
      </c>
      <c r="D219" s="65" t="s">
        <v>73</v>
      </c>
      <c r="E219" s="65" t="s">
        <v>519</v>
      </c>
      <c r="F219" s="65" t="s">
        <v>520</v>
      </c>
      <c r="G219" s="110">
        <v>53600</v>
      </c>
      <c r="H219" s="196">
        <v>1987</v>
      </c>
      <c r="I219" s="110">
        <v>10</v>
      </c>
      <c r="J219" s="110">
        <f t="shared" si="29"/>
        <v>1020</v>
      </c>
      <c r="K219" s="110"/>
      <c r="L219" s="110">
        <v>300</v>
      </c>
      <c r="M219" s="110">
        <v>720</v>
      </c>
      <c r="N219" s="110"/>
      <c r="O219" s="110"/>
      <c r="P219" s="197"/>
      <c r="Q219" s="197"/>
      <c r="R219" s="197"/>
      <c r="S219" s="197"/>
      <c r="T219" s="197">
        <f t="shared" si="30"/>
        <v>0</v>
      </c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>
        <f t="shared" si="31"/>
        <v>-1020</v>
      </c>
      <c r="AF219" s="198">
        <v>1.78</v>
      </c>
      <c r="AG219" s="198"/>
      <c r="AH219" s="199"/>
      <c r="AI219" s="199"/>
      <c r="AJ219" s="196"/>
      <c r="AK219" s="196"/>
      <c r="AL219" s="196"/>
      <c r="AM219" s="200">
        <v>41389</v>
      </c>
      <c r="AN219" s="200">
        <v>45291</v>
      </c>
      <c r="AO219" s="107"/>
      <c r="AP219" s="107"/>
      <c r="AQ219" s="107"/>
      <c r="AR219" s="107">
        <v>46153</v>
      </c>
      <c r="AS219" s="107">
        <v>45105</v>
      </c>
      <c r="AT219" s="107"/>
      <c r="AU219" s="218"/>
      <c r="AV219" s="218" t="s">
        <v>70</v>
      </c>
      <c r="AW219" s="204" t="s">
        <v>70</v>
      </c>
      <c r="AX219" s="107"/>
      <c r="AY219" s="107"/>
      <c r="AZ219" s="107"/>
      <c r="BA219" s="107"/>
      <c r="BB219" s="107"/>
      <c r="BC219" s="107"/>
      <c r="BD219" s="107"/>
      <c r="BE219" s="107"/>
      <c r="BF219" s="107"/>
      <c r="BG219" s="321"/>
      <c r="BH219" s="285" t="s">
        <v>1545</v>
      </c>
    </row>
    <row r="220" spans="1:60" s="76" customFormat="1" ht="20.100000000000001" customHeight="1">
      <c r="A220" s="195">
        <v>215</v>
      </c>
      <c r="B220" s="196" t="s">
        <v>463</v>
      </c>
      <c r="C220" s="65" t="s">
        <v>88</v>
      </c>
      <c r="D220" s="65" t="s">
        <v>73</v>
      </c>
      <c r="E220" s="65" t="s">
        <v>523</v>
      </c>
      <c r="F220" s="211" t="s">
        <v>524</v>
      </c>
      <c r="G220" s="221">
        <v>15866</v>
      </c>
      <c r="H220" s="196" t="s">
        <v>466</v>
      </c>
      <c r="I220" s="214">
        <v>16</v>
      </c>
      <c r="J220" s="217">
        <f t="shared" si="29"/>
        <v>292</v>
      </c>
      <c r="K220" s="214">
        <v>60</v>
      </c>
      <c r="L220" s="214">
        <v>224</v>
      </c>
      <c r="M220" s="214">
        <v>8</v>
      </c>
      <c r="N220" s="214"/>
      <c r="O220" s="214"/>
      <c r="P220" s="197"/>
      <c r="Q220" s="197"/>
      <c r="R220" s="197"/>
      <c r="S220" s="197"/>
      <c r="T220" s="197">
        <f t="shared" si="30"/>
        <v>0</v>
      </c>
      <c r="U220" s="214"/>
      <c r="V220" s="214"/>
      <c r="W220" s="214"/>
      <c r="X220" s="214"/>
      <c r="Y220" s="214"/>
      <c r="Z220" s="214"/>
      <c r="AA220" s="214"/>
      <c r="AB220" s="214"/>
      <c r="AC220" s="214"/>
      <c r="AD220" s="214"/>
      <c r="AE220" s="110">
        <f t="shared" si="31"/>
        <v>-292</v>
      </c>
      <c r="AF220" s="198">
        <v>1.1379999999999999</v>
      </c>
      <c r="AG220" s="65"/>
      <c r="AH220" s="199"/>
      <c r="AI220" s="199"/>
      <c r="AJ220" s="196"/>
      <c r="AK220" s="196"/>
      <c r="AL220" s="196"/>
      <c r="AM220" s="200">
        <v>44958</v>
      </c>
      <c r="AN220" s="200">
        <v>44926</v>
      </c>
      <c r="AO220" s="107">
        <v>46009</v>
      </c>
      <c r="AP220" s="108">
        <v>46009</v>
      </c>
      <c r="AQ220" s="107"/>
      <c r="AR220" s="107">
        <v>46178</v>
      </c>
      <c r="AS220" s="107">
        <v>44973</v>
      </c>
      <c r="AT220" s="107"/>
      <c r="AU220" s="218">
        <v>45286</v>
      </c>
      <c r="AV220" s="218" t="s">
        <v>79</v>
      </c>
      <c r="AW220" s="204"/>
      <c r="AX220" s="107"/>
      <c r="AY220" s="107"/>
      <c r="AZ220" s="107"/>
      <c r="BA220" s="107"/>
      <c r="BB220" s="107"/>
      <c r="BC220" s="107"/>
      <c r="BD220" s="107"/>
      <c r="BE220" s="107"/>
      <c r="BF220" s="107"/>
      <c r="BG220" s="321"/>
      <c r="BH220" s="285" t="s">
        <v>1546</v>
      </c>
    </row>
    <row r="221" spans="1:60" s="76" customFormat="1" ht="20.100000000000001" customHeight="1">
      <c r="A221" s="195">
        <v>216</v>
      </c>
      <c r="B221" s="196" t="s">
        <v>463</v>
      </c>
      <c r="C221" s="65" t="s">
        <v>88</v>
      </c>
      <c r="D221" s="65" t="s">
        <v>73</v>
      </c>
      <c r="E221" s="65" t="s">
        <v>525</v>
      </c>
      <c r="F221" s="211" t="s">
        <v>526</v>
      </c>
      <c r="G221" s="221">
        <v>94170.7</v>
      </c>
      <c r="H221" s="196">
        <v>1990</v>
      </c>
      <c r="I221" s="110">
        <v>35</v>
      </c>
      <c r="J221" s="217">
        <f t="shared" si="29"/>
        <v>2222</v>
      </c>
      <c r="K221" s="110">
        <v>180</v>
      </c>
      <c r="L221" s="110">
        <v>780</v>
      </c>
      <c r="M221" s="110">
        <v>990</v>
      </c>
      <c r="N221" s="110">
        <v>136</v>
      </c>
      <c r="O221" s="110">
        <v>136</v>
      </c>
      <c r="P221" s="197"/>
      <c r="Q221" s="197"/>
      <c r="R221" s="197"/>
      <c r="S221" s="197"/>
      <c r="T221" s="197">
        <f t="shared" si="30"/>
        <v>0</v>
      </c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>
        <f t="shared" si="31"/>
        <v>-2222</v>
      </c>
      <c r="AF221" s="198">
        <v>2.0779999999999998</v>
      </c>
      <c r="AG221" s="205"/>
      <c r="AH221" s="199">
        <v>2153</v>
      </c>
      <c r="AI221" s="199"/>
      <c r="AJ221" s="196"/>
      <c r="AK221" s="196"/>
      <c r="AL221" s="196"/>
      <c r="AM221" s="200">
        <v>44958</v>
      </c>
      <c r="AN221" s="200">
        <v>46387</v>
      </c>
      <c r="AO221" s="200"/>
      <c r="AP221" s="107"/>
      <c r="AQ221" s="107"/>
      <c r="AR221" s="108">
        <v>46002</v>
      </c>
      <c r="AS221" s="107"/>
      <c r="AT221" s="107"/>
      <c r="AU221" s="218"/>
      <c r="AV221" s="218"/>
      <c r="AW221" s="204"/>
      <c r="AX221" s="107"/>
      <c r="AY221" s="107"/>
      <c r="AZ221" s="107"/>
      <c r="BA221" s="107"/>
      <c r="BB221" s="107"/>
      <c r="BC221" s="107"/>
      <c r="BD221" s="107"/>
      <c r="BE221" s="107"/>
      <c r="BF221" s="107"/>
      <c r="BG221" s="321"/>
      <c r="BH221" s="285" t="s">
        <v>1545</v>
      </c>
    </row>
    <row r="222" spans="1:60" s="76" customFormat="1" ht="20.100000000000001" customHeight="1">
      <c r="A222" s="195">
        <v>217</v>
      </c>
      <c r="B222" s="196" t="s">
        <v>463</v>
      </c>
      <c r="C222" s="65" t="s">
        <v>88</v>
      </c>
      <c r="D222" s="65" t="s">
        <v>73</v>
      </c>
      <c r="E222" s="65" t="s">
        <v>527</v>
      </c>
      <c r="F222" s="211" t="s">
        <v>528</v>
      </c>
      <c r="G222" s="221">
        <v>115364.2</v>
      </c>
      <c r="H222" s="196" t="s">
        <v>529</v>
      </c>
      <c r="I222" s="110">
        <v>35</v>
      </c>
      <c r="J222" s="217">
        <f t="shared" si="29"/>
        <v>2810</v>
      </c>
      <c r="K222" s="110">
        <v>1820</v>
      </c>
      <c r="L222" s="110">
        <v>990</v>
      </c>
      <c r="M222" s="110"/>
      <c r="N222" s="110"/>
      <c r="O222" s="110"/>
      <c r="P222" s="197"/>
      <c r="Q222" s="197"/>
      <c r="R222" s="197"/>
      <c r="S222" s="197"/>
      <c r="T222" s="197">
        <f t="shared" si="30"/>
        <v>0</v>
      </c>
      <c r="U222" s="110"/>
      <c r="V222" s="110"/>
      <c r="W222" s="110"/>
      <c r="X222" s="110"/>
      <c r="Y222" s="110"/>
      <c r="Z222" s="110"/>
      <c r="AA222" s="110"/>
      <c r="AB222" s="110"/>
      <c r="AC222" s="110"/>
      <c r="AD222" s="110"/>
      <c r="AE222" s="110">
        <f t="shared" si="31"/>
        <v>-2810</v>
      </c>
      <c r="AF222" s="198">
        <v>1.256</v>
      </c>
      <c r="AG222" s="205"/>
      <c r="AH222" s="199"/>
      <c r="AI222" s="199"/>
      <c r="AJ222" s="196"/>
      <c r="AK222" s="196"/>
      <c r="AL222" s="196"/>
      <c r="AM222" s="200">
        <v>44958</v>
      </c>
      <c r="AN222" s="200">
        <v>46387</v>
      </c>
      <c r="AO222" s="200"/>
      <c r="AP222" s="107"/>
      <c r="AQ222" s="107"/>
      <c r="AR222" s="107">
        <v>46106</v>
      </c>
      <c r="AS222" s="107"/>
      <c r="AT222" s="107"/>
      <c r="AU222" s="218"/>
      <c r="AV222" s="218"/>
      <c r="AW222" s="204"/>
      <c r="AX222" s="107"/>
      <c r="AY222" s="107"/>
      <c r="AZ222" s="107"/>
      <c r="BA222" s="107"/>
      <c r="BB222" s="107"/>
      <c r="BC222" s="107"/>
      <c r="BD222" s="107"/>
      <c r="BE222" s="107"/>
      <c r="BF222" s="107"/>
      <c r="BG222" s="321"/>
      <c r="BH222" s="285" t="s">
        <v>1546</v>
      </c>
    </row>
    <row r="223" spans="1:60" s="76" customFormat="1" ht="20.100000000000001" customHeight="1">
      <c r="A223" s="195">
        <v>218</v>
      </c>
      <c r="B223" s="196" t="s">
        <v>463</v>
      </c>
      <c r="C223" s="65" t="s">
        <v>88</v>
      </c>
      <c r="D223" s="65" t="s">
        <v>73</v>
      </c>
      <c r="E223" s="65" t="s">
        <v>530</v>
      </c>
      <c r="F223" s="211" t="s">
        <v>531</v>
      </c>
      <c r="G223" s="221">
        <v>86460.2</v>
      </c>
      <c r="H223" s="196">
        <v>1990</v>
      </c>
      <c r="I223" s="110">
        <v>21</v>
      </c>
      <c r="J223" s="217">
        <f t="shared" si="29"/>
        <v>1768</v>
      </c>
      <c r="K223" s="110"/>
      <c r="L223" s="110">
        <v>80</v>
      </c>
      <c r="M223" s="110">
        <v>1254</v>
      </c>
      <c r="N223" s="110">
        <v>330</v>
      </c>
      <c r="O223" s="110">
        <v>104</v>
      </c>
      <c r="P223" s="197"/>
      <c r="Q223" s="197"/>
      <c r="R223" s="197"/>
      <c r="S223" s="197"/>
      <c r="T223" s="197">
        <f t="shared" si="30"/>
        <v>0</v>
      </c>
      <c r="U223" s="110"/>
      <c r="V223" s="110"/>
      <c r="W223" s="110"/>
      <c r="X223" s="110"/>
      <c r="Y223" s="110"/>
      <c r="Z223" s="110"/>
      <c r="AA223" s="110"/>
      <c r="AB223" s="110"/>
      <c r="AC223" s="110"/>
      <c r="AD223" s="110"/>
      <c r="AE223" s="110">
        <f t="shared" si="31"/>
        <v>-1768</v>
      </c>
      <c r="AF223" s="198">
        <v>2.1739999999999999</v>
      </c>
      <c r="AG223" s="205"/>
      <c r="AH223" s="199"/>
      <c r="AI223" s="199"/>
      <c r="AJ223" s="196"/>
      <c r="AK223" s="196"/>
      <c r="AL223" s="196"/>
      <c r="AM223" s="200">
        <v>44958</v>
      </c>
      <c r="AN223" s="200">
        <v>46387</v>
      </c>
      <c r="AO223" s="200"/>
      <c r="AP223" s="107"/>
      <c r="AQ223" s="107"/>
      <c r="AR223" s="107">
        <v>46099</v>
      </c>
      <c r="AS223" s="107"/>
      <c r="AT223" s="107"/>
      <c r="AU223" s="218"/>
      <c r="AV223" s="218"/>
      <c r="AW223" s="204"/>
      <c r="AX223" s="107"/>
      <c r="AY223" s="107"/>
      <c r="AZ223" s="107"/>
      <c r="BA223" s="107"/>
      <c r="BB223" s="107"/>
      <c r="BC223" s="107"/>
      <c r="BD223" s="107"/>
      <c r="BE223" s="107"/>
      <c r="BF223" s="107"/>
      <c r="BG223" s="321"/>
      <c r="BH223" s="285" t="s">
        <v>1545</v>
      </c>
    </row>
    <row r="224" spans="1:60" s="76" customFormat="1" ht="20.100000000000001" customHeight="1">
      <c r="A224" s="195">
        <v>219</v>
      </c>
      <c r="B224" s="196" t="s">
        <v>463</v>
      </c>
      <c r="C224" s="65" t="s">
        <v>88</v>
      </c>
      <c r="D224" s="65" t="s">
        <v>73</v>
      </c>
      <c r="E224" s="65" t="s">
        <v>532</v>
      </c>
      <c r="F224" s="211" t="s">
        <v>533</v>
      </c>
      <c r="G224" s="221">
        <v>26615.9</v>
      </c>
      <c r="H224" s="196" t="s">
        <v>499</v>
      </c>
      <c r="I224" s="110">
        <v>16</v>
      </c>
      <c r="J224" s="217">
        <f t="shared" si="29"/>
        <v>339</v>
      </c>
      <c r="K224" s="110"/>
      <c r="L224" s="110">
        <v>64</v>
      </c>
      <c r="M224" s="110">
        <v>232</v>
      </c>
      <c r="N224" s="110">
        <v>24</v>
      </c>
      <c r="O224" s="110">
        <v>19</v>
      </c>
      <c r="P224" s="197"/>
      <c r="Q224" s="197"/>
      <c r="R224" s="197"/>
      <c r="S224" s="197"/>
      <c r="T224" s="197">
        <f t="shared" si="30"/>
        <v>0</v>
      </c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>
        <f t="shared" si="31"/>
        <v>-339</v>
      </c>
      <c r="AF224" s="198">
        <v>1.169</v>
      </c>
      <c r="AG224" s="205"/>
      <c r="AH224" s="199"/>
      <c r="AI224" s="199"/>
      <c r="AJ224" s="196"/>
      <c r="AK224" s="196"/>
      <c r="AL224" s="196"/>
      <c r="AM224" s="200">
        <v>44958</v>
      </c>
      <c r="AN224" s="200">
        <v>45657</v>
      </c>
      <c r="AO224" s="200"/>
      <c r="AP224" s="107"/>
      <c r="AQ224" s="107"/>
      <c r="AR224" s="107">
        <v>46064</v>
      </c>
      <c r="AS224" s="107">
        <v>45313</v>
      </c>
      <c r="AT224" s="107"/>
      <c r="AU224" s="218">
        <v>45475</v>
      </c>
      <c r="AV224" s="218" t="s">
        <v>82</v>
      </c>
      <c r="AW224" s="204"/>
      <c r="AX224" s="107"/>
      <c r="AY224" s="107"/>
      <c r="AZ224" s="107"/>
      <c r="BA224" s="107"/>
      <c r="BB224" s="107"/>
      <c r="BC224" s="107"/>
      <c r="BD224" s="107"/>
      <c r="BE224" s="107"/>
      <c r="BF224" s="107"/>
      <c r="BG224" s="321"/>
      <c r="BH224" s="285" t="s">
        <v>1546</v>
      </c>
    </row>
    <row r="225" spans="1:60" s="76" customFormat="1" ht="20.100000000000001" customHeight="1">
      <c r="A225" s="195">
        <v>220</v>
      </c>
      <c r="B225" s="196" t="s">
        <v>463</v>
      </c>
      <c r="C225" s="65" t="s">
        <v>88</v>
      </c>
      <c r="D225" s="65" t="s">
        <v>73</v>
      </c>
      <c r="E225" s="65" t="s">
        <v>534</v>
      </c>
      <c r="F225" s="65" t="s">
        <v>535</v>
      </c>
      <c r="G225" s="110">
        <v>71800</v>
      </c>
      <c r="H225" s="196">
        <v>1985</v>
      </c>
      <c r="I225" s="110">
        <v>13</v>
      </c>
      <c r="J225" s="110">
        <f t="shared" si="29"/>
        <v>1485</v>
      </c>
      <c r="K225" s="110"/>
      <c r="L225" s="110">
        <v>3</v>
      </c>
      <c r="M225" s="110">
        <v>1482</v>
      </c>
      <c r="N225" s="110"/>
      <c r="O225" s="110"/>
      <c r="P225" s="197"/>
      <c r="Q225" s="197"/>
      <c r="R225" s="197"/>
      <c r="S225" s="197"/>
      <c r="T225" s="197">
        <f t="shared" si="30"/>
        <v>0</v>
      </c>
      <c r="U225" s="110"/>
      <c r="V225" s="110"/>
      <c r="W225" s="110"/>
      <c r="X225" s="110"/>
      <c r="Y225" s="110"/>
      <c r="Z225" s="110"/>
      <c r="AA225" s="110"/>
      <c r="AB225" s="110"/>
      <c r="AC225" s="110"/>
      <c r="AD225" s="110"/>
      <c r="AE225" s="110">
        <f t="shared" si="31"/>
        <v>-1485</v>
      </c>
      <c r="AF225" s="198">
        <v>2.2599999999999998</v>
      </c>
      <c r="AG225" s="198"/>
      <c r="AH225" s="199"/>
      <c r="AI225" s="199"/>
      <c r="AJ225" s="196"/>
      <c r="AK225" s="196"/>
      <c r="AL225" s="196"/>
      <c r="AM225" s="200">
        <v>38975</v>
      </c>
      <c r="AN225" s="200">
        <v>45291</v>
      </c>
      <c r="AO225" s="107">
        <v>46009</v>
      </c>
      <c r="AP225" s="108">
        <v>46009</v>
      </c>
      <c r="AQ225" s="107"/>
      <c r="AR225" s="107">
        <v>46063</v>
      </c>
      <c r="AS225" s="107">
        <v>43066</v>
      </c>
      <c r="AT225" s="107"/>
      <c r="AU225" s="218">
        <v>45286</v>
      </c>
      <c r="AV225" s="218" t="s">
        <v>79</v>
      </c>
      <c r="AW225" s="204" t="s">
        <v>70</v>
      </c>
      <c r="AX225" s="107"/>
      <c r="AY225" s="107"/>
      <c r="AZ225" s="107"/>
      <c r="BA225" s="107"/>
      <c r="BB225" s="107"/>
      <c r="BC225" s="107"/>
      <c r="BD225" s="107"/>
      <c r="BE225" s="107"/>
      <c r="BF225" s="107"/>
      <c r="BG225" s="321"/>
      <c r="BH225" s="285" t="s">
        <v>1547</v>
      </c>
    </row>
    <row r="226" spans="1:60" s="61" customFormat="1" ht="20.100000000000001" customHeight="1">
      <c r="A226" s="195">
        <v>221</v>
      </c>
      <c r="B226" s="196" t="s">
        <v>463</v>
      </c>
      <c r="C226" s="65" t="s">
        <v>88</v>
      </c>
      <c r="D226" s="65" t="s">
        <v>73</v>
      </c>
      <c r="E226" s="65" t="s">
        <v>538</v>
      </c>
      <c r="F226" s="65" t="s">
        <v>539</v>
      </c>
      <c r="G226" s="110">
        <v>75146.5</v>
      </c>
      <c r="H226" s="196" t="s">
        <v>540</v>
      </c>
      <c r="I226" s="110">
        <v>60</v>
      </c>
      <c r="J226" s="110">
        <f>SUM(K226:O226)</f>
        <v>1129</v>
      </c>
      <c r="K226" s="110"/>
      <c r="L226" s="110">
        <v>797</v>
      </c>
      <c r="M226" s="110">
        <v>332</v>
      </c>
      <c r="N226" s="110"/>
      <c r="O226" s="110"/>
      <c r="P226" s="197"/>
      <c r="Q226" s="197"/>
      <c r="R226" s="197"/>
      <c r="S226" s="197"/>
      <c r="T226" s="197">
        <f>U226+AA226</f>
        <v>0</v>
      </c>
      <c r="U226" s="110"/>
      <c r="V226" s="110"/>
      <c r="W226" s="110"/>
      <c r="X226" s="110"/>
      <c r="Y226" s="110"/>
      <c r="Z226" s="110"/>
      <c r="AA226" s="110"/>
      <c r="AB226" s="110"/>
      <c r="AC226" s="110"/>
      <c r="AD226" s="110"/>
      <c r="AE226" s="110">
        <f>T226-J226</f>
        <v>-1129</v>
      </c>
      <c r="AF226" s="198">
        <v>1.1599999999999999</v>
      </c>
      <c r="AG226" s="198"/>
      <c r="AH226" s="199">
        <v>1165</v>
      </c>
      <c r="AI226" s="199"/>
      <c r="AJ226" s="196"/>
      <c r="AK226" s="196"/>
      <c r="AL226" s="196"/>
      <c r="AM226" s="200">
        <v>41389</v>
      </c>
      <c r="AN226" s="200">
        <v>44926</v>
      </c>
      <c r="AO226" s="107">
        <v>45630</v>
      </c>
      <c r="AP226" s="107">
        <v>45630</v>
      </c>
      <c r="AQ226" s="107"/>
      <c r="AR226" s="107">
        <v>45657</v>
      </c>
      <c r="AS226" s="107">
        <v>43811</v>
      </c>
      <c r="AT226" s="107"/>
      <c r="AU226" s="218">
        <v>44953</v>
      </c>
      <c r="AV226" s="218" t="s">
        <v>82</v>
      </c>
      <c r="AW226" s="204" t="s">
        <v>70</v>
      </c>
      <c r="AX226" s="107"/>
      <c r="AY226" s="107"/>
      <c r="AZ226" s="107"/>
      <c r="BA226" s="107"/>
      <c r="BB226" s="107"/>
      <c r="BC226" s="107"/>
      <c r="BD226" s="107"/>
      <c r="BE226" s="107"/>
      <c r="BF226" s="107"/>
      <c r="BG226" s="321"/>
      <c r="BH226" s="285" t="s">
        <v>1546</v>
      </c>
    </row>
    <row r="227" spans="1:60" s="61" customFormat="1" ht="20.100000000000001" customHeight="1">
      <c r="A227" s="195">
        <v>222</v>
      </c>
      <c r="B227" s="196" t="s">
        <v>463</v>
      </c>
      <c r="C227" s="65" t="s">
        <v>88</v>
      </c>
      <c r="D227" s="65" t="s">
        <v>73</v>
      </c>
      <c r="E227" s="65" t="s">
        <v>544</v>
      </c>
      <c r="F227" s="65" t="s">
        <v>545</v>
      </c>
      <c r="G227" s="110">
        <v>49553.5</v>
      </c>
      <c r="H227" s="196">
        <v>1989</v>
      </c>
      <c r="I227" s="110">
        <v>28</v>
      </c>
      <c r="J227" s="110">
        <f>SUM(K227:O227)</f>
        <v>1070</v>
      </c>
      <c r="K227" s="110">
        <v>420</v>
      </c>
      <c r="L227" s="110">
        <v>590</v>
      </c>
      <c r="M227" s="110">
        <v>60</v>
      </c>
      <c r="N227" s="110"/>
      <c r="O227" s="110"/>
      <c r="P227" s="197"/>
      <c r="Q227" s="197"/>
      <c r="R227" s="197"/>
      <c r="S227" s="197"/>
      <c r="T227" s="197">
        <f>U227+AA227</f>
        <v>0</v>
      </c>
      <c r="U227" s="110"/>
      <c r="V227" s="110"/>
      <c r="W227" s="110"/>
      <c r="X227" s="110"/>
      <c r="Y227" s="110"/>
      <c r="Z227" s="110"/>
      <c r="AA227" s="110"/>
      <c r="AB227" s="110"/>
      <c r="AC227" s="110"/>
      <c r="AD227" s="110"/>
      <c r="AE227" s="110">
        <f>T227-J227</f>
        <v>-1070</v>
      </c>
      <c r="AF227" s="198">
        <v>1.28</v>
      </c>
      <c r="AG227" s="198"/>
      <c r="AH227" s="199">
        <v>1278</v>
      </c>
      <c r="AI227" s="199"/>
      <c r="AJ227" s="196"/>
      <c r="AK227" s="196"/>
      <c r="AL227" s="196"/>
      <c r="AM227" s="200">
        <v>43082</v>
      </c>
      <c r="AN227" s="200">
        <v>44926</v>
      </c>
      <c r="AO227" s="107">
        <v>45644</v>
      </c>
      <c r="AP227" s="107">
        <v>45644</v>
      </c>
      <c r="AQ227" s="107"/>
      <c r="AR227" s="107">
        <v>45680</v>
      </c>
      <c r="AS227" s="107">
        <v>44161</v>
      </c>
      <c r="AT227" s="107"/>
      <c r="AU227" s="218">
        <v>44953</v>
      </c>
      <c r="AV227" s="218" t="s">
        <v>82</v>
      </c>
      <c r="AW227" s="204" t="s">
        <v>70</v>
      </c>
      <c r="AX227" s="107"/>
      <c r="AY227" s="107"/>
      <c r="AZ227" s="107"/>
      <c r="BA227" s="107"/>
      <c r="BB227" s="107"/>
      <c r="BC227" s="107"/>
      <c r="BD227" s="107"/>
      <c r="BE227" s="107"/>
      <c r="BF227" s="107"/>
      <c r="BG227" s="321"/>
      <c r="BH227" s="285" t="s">
        <v>1546</v>
      </c>
    </row>
    <row r="228" spans="1:60" s="61" customFormat="1" ht="20.100000000000001" customHeight="1">
      <c r="A228" s="195">
        <v>223</v>
      </c>
      <c r="B228" s="196" t="s">
        <v>463</v>
      </c>
      <c r="C228" s="65" t="s">
        <v>64</v>
      </c>
      <c r="D228" s="65" t="s">
        <v>73</v>
      </c>
      <c r="E228" s="65" t="s">
        <v>536</v>
      </c>
      <c r="F228" s="65" t="s">
        <v>537</v>
      </c>
      <c r="G228" s="110">
        <v>46900</v>
      </c>
      <c r="H228" s="196">
        <v>1986</v>
      </c>
      <c r="I228" s="110">
        <v>8</v>
      </c>
      <c r="J228" s="110">
        <f t="shared" si="29"/>
        <v>780</v>
      </c>
      <c r="K228" s="110"/>
      <c r="L228" s="110"/>
      <c r="M228" s="110">
        <v>780</v>
      </c>
      <c r="N228" s="110"/>
      <c r="O228" s="110"/>
      <c r="P228" s="197"/>
      <c r="Q228" s="197"/>
      <c r="R228" s="197"/>
      <c r="S228" s="197"/>
      <c r="T228" s="197">
        <f t="shared" si="30"/>
        <v>0</v>
      </c>
      <c r="U228" s="110"/>
      <c r="V228" s="110"/>
      <c r="W228" s="110"/>
      <c r="X228" s="110"/>
      <c r="Y228" s="110"/>
      <c r="Z228" s="110"/>
      <c r="AA228" s="110"/>
      <c r="AB228" s="110"/>
      <c r="AC228" s="110"/>
      <c r="AD228" s="110"/>
      <c r="AE228" s="110">
        <f t="shared" si="31"/>
        <v>-780</v>
      </c>
      <c r="AF228" s="198">
        <v>1.81</v>
      </c>
      <c r="AG228" s="198">
        <v>2.8</v>
      </c>
      <c r="AH228" s="199">
        <v>800</v>
      </c>
      <c r="AI228" s="199">
        <v>655</v>
      </c>
      <c r="AJ228" s="196" t="s">
        <v>92</v>
      </c>
      <c r="AK228" s="196"/>
      <c r="AL228" s="196"/>
      <c r="AM228" s="200">
        <v>41389</v>
      </c>
      <c r="AN228" s="200">
        <v>45291</v>
      </c>
      <c r="AO228" s="107">
        <v>46009</v>
      </c>
      <c r="AP228" s="108">
        <v>46009</v>
      </c>
      <c r="AQ228" s="107"/>
      <c r="AR228" s="108">
        <v>45980</v>
      </c>
      <c r="AS228" s="108">
        <v>44329</v>
      </c>
      <c r="AT228" s="108"/>
      <c r="AU228" s="218">
        <v>45286</v>
      </c>
      <c r="AV228" s="218" t="s">
        <v>82</v>
      </c>
      <c r="AW228" s="204" t="s">
        <v>70</v>
      </c>
      <c r="AX228" s="107"/>
      <c r="AY228" s="107">
        <v>46196</v>
      </c>
      <c r="AZ228" s="107"/>
      <c r="BA228" s="107"/>
      <c r="BB228" s="107"/>
      <c r="BC228" s="107"/>
      <c r="BD228" s="107"/>
      <c r="BE228" s="107"/>
      <c r="BF228" s="107"/>
      <c r="BG228" s="321"/>
      <c r="BH228" s="285" t="s">
        <v>1548</v>
      </c>
    </row>
    <row r="229" spans="1:60" s="61" customFormat="1" ht="20.100000000000001" customHeight="1">
      <c r="A229" s="195">
        <v>224</v>
      </c>
      <c r="B229" s="196" t="s">
        <v>463</v>
      </c>
      <c r="C229" s="65" t="s">
        <v>64</v>
      </c>
      <c r="D229" s="65" t="s">
        <v>73</v>
      </c>
      <c r="E229" s="65" t="s">
        <v>541</v>
      </c>
      <c r="F229" s="65" t="s">
        <v>542</v>
      </c>
      <c r="G229" s="110">
        <v>46305.5</v>
      </c>
      <c r="H229" s="196">
        <v>1989</v>
      </c>
      <c r="I229" s="110">
        <v>19</v>
      </c>
      <c r="J229" s="110">
        <f t="shared" si="29"/>
        <v>790</v>
      </c>
      <c r="K229" s="110">
        <v>480</v>
      </c>
      <c r="L229" s="110">
        <v>310</v>
      </c>
      <c r="M229" s="110"/>
      <c r="N229" s="110"/>
      <c r="O229" s="110"/>
      <c r="P229" s="197"/>
      <c r="Q229" s="197"/>
      <c r="R229" s="197"/>
      <c r="S229" s="197"/>
      <c r="T229" s="197">
        <f t="shared" si="30"/>
        <v>0</v>
      </c>
      <c r="U229" s="110"/>
      <c r="V229" s="110"/>
      <c r="W229" s="110"/>
      <c r="X229" s="110"/>
      <c r="Y229" s="110"/>
      <c r="Z229" s="110"/>
      <c r="AA229" s="110"/>
      <c r="AB229" s="110"/>
      <c r="AC229" s="110"/>
      <c r="AD229" s="110"/>
      <c r="AE229" s="110">
        <f t="shared" si="31"/>
        <v>-790</v>
      </c>
      <c r="AF229" s="198">
        <v>1</v>
      </c>
      <c r="AG229" s="198">
        <v>2.8</v>
      </c>
      <c r="AH229" s="199">
        <v>802</v>
      </c>
      <c r="AI229" s="199"/>
      <c r="AJ229" s="196" t="s">
        <v>543</v>
      </c>
      <c r="AK229" s="196"/>
      <c r="AL229" s="196"/>
      <c r="AM229" s="200">
        <v>43082</v>
      </c>
      <c r="AN229" s="200">
        <v>44926</v>
      </c>
      <c r="AO229" s="107">
        <v>45644</v>
      </c>
      <c r="AP229" s="107">
        <v>45644</v>
      </c>
      <c r="AQ229" s="107"/>
      <c r="AR229" s="107">
        <v>45674</v>
      </c>
      <c r="AS229" s="107">
        <v>44154</v>
      </c>
      <c r="AT229" s="107"/>
      <c r="AU229" s="218">
        <v>44953</v>
      </c>
      <c r="AV229" s="218" t="s">
        <v>82</v>
      </c>
      <c r="AW229" s="204" t="s">
        <v>70</v>
      </c>
      <c r="AX229" s="107"/>
      <c r="AY229" s="107">
        <v>46127</v>
      </c>
      <c r="AZ229" s="107"/>
      <c r="BA229" s="107"/>
      <c r="BB229" s="107"/>
      <c r="BC229" s="107"/>
      <c r="BD229" s="107"/>
      <c r="BE229" s="107"/>
      <c r="BF229" s="107"/>
      <c r="BG229" s="321"/>
      <c r="BH229" s="285" t="s">
        <v>1545</v>
      </c>
    </row>
    <row r="230" spans="1:60" s="61" customFormat="1" ht="20.100000000000001" customHeight="1">
      <c r="A230" s="195">
        <v>225</v>
      </c>
      <c r="B230" s="196" t="s">
        <v>463</v>
      </c>
      <c r="C230" s="65" t="s">
        <v>64</v>
      </c>
      <c r="D230" s="65" t="s">
        <v>73</v>
      </c>
      <c r="E230" s="65" t="s">
        <v>546</v>
      </c>
      <c r="F230" s="65" t="s">
        <v>547</v>
      </c>
      <c r="G230" s="110">
        <v>69795.199999999997</v>
      </c>
      <c r="H230" s="196" t="s">
        <v>548</v>
      </c>
      <c r="I230" s="110">
        <v>59</v>
      </c>
      <c r="J230" s="110">
        <f t="shared" si="29"/>
        <v>1072</v>
      </c>
      <c r="K230" s="110"/>
      <c r="L230" s="110">
        <v>732</v>
      </c>
      <c r="M230" s="110">
        <v>340</v>
      </c>
      <c r="N230" s="110"/>
      <c r="O230" s="110"/>
      <c r="P230" s="197"/>
      <c r="Q230" s="197"/>
      <c r="R230" s="197"/>
      <c r="S230" s="197"/>
      <c r="T230" s="197">
        <f t="shared" si="30"/>
        <v>0</v>
      </c>
      <c r="U230" s="110"/>
      <c r="V230" s="110"/>
      <c r="W230" s="110"/>
      <c r="X230" s="110"/>
      <c r="Y230" s="110"/>
      <c r="Z230" s="110"/>
      <c r="AA230" s="110"/>
      <c r="AB230" s="110"/>
      <c r="AC230" s="110"/>
      <c r="AD230" s="110"/>
      <c r="AE230" s="110">
        <f t="shared" si="31"/>
        <v>-1072</v>
      </c>
      <c r="AF230" s="198">
        <v>1.22</v>
      </c>
      <c r="AG230" s="198">
        <v>2.5</v>
      </c>
      <c r="AH230" s="199">
        <v>1096</v>
      </c>
      <c r="AI230" s="199">
        <v>896</v>
      </c>
      <c r="AJ230" s="196" t="s">
        <v>92</v>
      </c>
      <c r="AK230" s="196"/>
      <c r="AL230" s="196"/>
      <c r="AM230" s="200">
        <v>41389</v>
      </c>
      <c r="AN230" s="200">
        <v>44926</v>
      </c>
      <c r="AO230" s="107">
        <v>45644</v>
      </c>
      <c r="AP230" s="107">
        <v>45644</v>
      </c>
      <c r="AQ230" s="107"/>
      <c r="AR230" s="107">
        <v>45698</v>
      </c>
      <c r="AS230" s="107">
        <v>43812</v>
      </c>
      <c r="AT230" s="107"/>
      <c r="AU230" s="218">
        <v>44953</v>
      </c>
      <c r="AV230" s="218" t="s">
        <v>82</v>
      </c>
      <c r="AW230" s="204" t="s">
        <v>70</v>
      </c>
      <c r="AX230" s="107"/>
      <c r="AY230" s="107">
        <v>45883</v>
      </c>
      <c r="AZ230" s="107"/>
      <c r="BA230" s="107"/>
      <c r="BB230" s="107"/>
      <c r="BC230" s="107"/>
      <c r="BD230" s="107"/>
      <c r="BE230" s="107"/>
      <c r="BF230" s="107"/>
      <c r="BG230" s="321"/>
      <c r="BH230" s="285" t="s">
        <v>1548</v>
      </c>
    </row>
    <row r="231" spans="1:60" s="61" customFormat="1" ht="21" customHeight="1">
      <c r="A231" s="195">
        <v>226</v>
      </c>
      <c r="B231" s="196" t="s">
        <v>463</v>
      </c>
      <c r="C231" s="65" t="s">
        <v>64</v>
      </c>
      <c r="D231" s="65" t="s">
        <v>73</v>
      </c>
      <c r="E231" s="65" t="s">
        <v>549</v>
      </c>
      <c r="F231" s="65" t="s">
        <v>550</v>
      </c>
      <c r="G231" s="110">
        <v>26507.5</v>
      </c>
      <c r="H231" s="196" t="s">
        <v>466</v>
      </c>
      <c r="I231" s="110">
        <v>22</v>
      </c>
      <c r="J231" s="110">
        <f t="shared" si="29"/>
        <v>411</v>
      </c>
      <c r="K231" s="110"/>
      <c r="L231" s="110">
        <v>227</v>
      </c>
      <c r="M231" s="110">
        <v>184</v>
      </c>
      <c r="N231" s="110"/>
      <c r="O231" s="110"/>
      <c r="P231" s="197"/>
      <c r="Q231" s="197"/>
      <c r="R231" s="197"/>
      <c r="S231" s="197"/>
      <c r="T231" s="197">
        <f t="shared" si="30"/>
        <v>0</v>
      </c>
      <c r="U231" s="110"/>
      <c r="V231" s="110"/>
      <c r="W231" s="110"/>
      <c r="X231" s="110"/>
      <c r="Y231" s="110"/>
      <c r="Z231" s="110"/>
      <c r="AA231" s="110"/>
      <c r="AB231" s="110"/>
      <c r="AC231" s="110"/>
      <c r="AD231" s="110"/>
      <c r="AE231" s="110">
        <f t="shared" si="31"/>
        <v>-411</v>
      </c>
      <c r="AF231" s="198">
        <v>1.39</v>
      </c>
      <c r="AG231" s="198">
        <v>2.5</v>
      </c>
      <c r="AH231" s="199">
        <v>422</v>
      </c>
      <c r="AI231" s="199">
        <v>345</v>
      </c>
      <c r="AJ231" s="196" t="s">
        <v>92</v>
      </c>
      <c r="AK231" s="196"/>
      <c r="AL231" s="196"/>
      <c r="AM231" s="200">
        <v>41389</v>
      </c>
      <c r="AN231" s="200">
        <v>44926</v>
      </c>
      <c r="AO231" s="107">
        <v>45630</v>
      </c>
      <c r="AP231" s="107">
        <v>45630</v>
      </c>
      <c r="AQ231" s="107"/>
      <c r="AR231" s="107">
        <v>45657</v>
      </c>
      <c r="AS231" s="107">
        <v>43812</v>
      </c>
      <c r="AT231" s="107"/>
      <c r="AU231" s="218">
        <v>44953</v>
      </c>
      <c r="AV231" s="218" t="s">
        <v>82</v>
      </c>
      <c r="AW231" s="204" t="s">
        <v>70</v>
      </c>
      <c r="AX231" s="107"/>
      <c r="AY231" s="107">
        <v>45888</v>
      </c>
      <c r="AZ231" s="107"/>
      <c r="BA231" s="107"/>
      <c r="BB231" s="107"/>
      <c r="BC231" s="107"/>
      <c r="BD231" s="107"/>
      <c r="BE231" s="107"/>
      <c r="BF231" s="107"/>
      <c r="BG231" s="321"/>
      <c r="BH231" s="285" t="s">
        <v>1549</v>
      </c>
    </row>
    <row r="232" spans="1:60" s="61" customFormat="1" ht="20.100000000000001" customHeight="1">
      <c r="A232" s="195">
        <v>227</v>
      </c>
      <c r="B232" s="196" t="s">
        <v>463</v>
      </c>
      <c r="C232" s="65" t="s">
        <v>64</v>
      </c>
      <c r="D232" s="65" t="s">
        <v>73</v>
      </c>
      <c r="E232" s="65" t="s">
        <v>551</v>
      </c>
      <c r="F232" s="65" t="s">
        <v>552</v>
      </c>
      <c r="G232" s="110">
        <v>22046.2</v>
      </c>
      <c r="H232" s="196">
        <v>1989</v>
      </c>
      <c r="I232" s="110">
        <v>10</v>
      </c>
      <c r="J232" s="110">
        <f t="shared" si="29"/>
        <v>570</v>
      </c>
      <c r="K232" s="110">
        <v>420</v>
      </c>
      <c r="L232" s="110">
        <v>150</v>
      </c>
      <c r="M232" s="110"/>
      <c r="N232" s="110"/>
      <c r="O232" s="110"/>
      <c r="P232" s="197"/>
      <c r="Q232" s="197"/>
      <c r="R232" s="197"/>
      <c r="S232" s="197"/>
      <c r="T232" s="197">
        <f t="shared" si="30"/>
        <v>0</v>
      </c>
      <c r="U232" s="110"/>
      <c r="V232" s="110"/>
      <c r="W232" s="110"/>
      <c r="X232" s="110"/>
      <c r="Y232" s="110"/>
      <c r="Z232" s="110"/>
      <c r="AA232" s="110"/>
      <c r="AB232" s="110"/>
      <c r="AC232" s="110"/>
      <c r="AD232" s="110"/>
      <c r="AE232" s="110">
        <f t="shared" si="31"/>
        <v>-570</v>
      </c>
      <c r="AF232" s="198">
        <v>1.24</v>
      </c>
      <c r="AG232" s="198">
        <v>2.8</v>
      </c>
      <c r="AH232" s="199">
        <v>603</v>
      </c>
      <c r="AI232" s="199">
        <v>502</v>
      </c>
      <c r="AJ232" s="196" t="s">
        <v>92</v>
      </c>
      <c r="AK232" s="196"/>
      <c r="AL232" s="196"/>
      <c r="AM232" s="200">
        <v>43082</v>
      </c>
      <c r="AN232" s="200">
        <v>44926</v>
      </c>
      <c r="AO232" s="107">
        <v>45630</v>
      </c>
      <c r="AP232" s="107">
        <v>45630</v>
      </c>
      <c r="AQ232" s="107"/>
      <c r="AR232" s="107">
        <v>45671</v>
      </c>
      <c r="AS232" s="107">
        <v>44160</v>
      </c>
      <c r="AT232" s="107"/>
      <c r="AU232" s="218">
        <v>44953</v>
      </c>
      <c r="AV232" s="218" t="s">
        <v>82</v>
      </c>
      <c r="AW232" s="204" t="s">
        <v>70</v>
      </c>
      <c r="AX232" s="107"/>
      <c r="AY232" s="107">
        <v>45894</v>
      </c>
      <c r="AZ232" s="107"/>
      <c r="BA232" s="107"/>
      <c r="BB232" s="107"/>
      <c r="BC232" s="107"/>
      <c r="BD232" s="107"/>
      <c r="BE232" s="107"/>
      <c r="BF232" s="107"/>
      <c r="BG232" s="321"/>
      <c r="BH232" s="285" t="s">
        <v>1549</v>
      </c>
    </row>
    <row r="233" spans="1:60" s="61" customFormat="1" ht="20.100000000000001" customHeight="1">
      <c r="A233" s="195">
        <v>228</v>
      </c>
      <c r="B233" s="196" t="s">
        <v>463</v>
      </c>
      <c r="C233" s="65" t="s">
        <v>64</v>
      </c>
      <c r="D233" s="65" t="s">
        <v>73</v>
      </c>
      <c r="E233" s="65" t="s">
        <v>553</v>
      </c>
      <c r="F233" s="65" t="s">
        <v>554</v>
      </c>
      <c r="G233" s="110">
        <v>29528.9</v>
      </c>
      <c r="H233" s="196">
        <v>1989</v>
      </c>
      <c r="I233" s="110">
        <v>11</v>
      </c>
      <c r="J233" s="110">
        <f t="shared" si="29"/>
        <v>540</v>
      </c>
      <c r="K233" s="110">
        <v>350</v>
      </c>
      <c r="L233" s="110">
        <v>190</v>
      </c>
      <c r="M233" s="110"/>
      <c r="N233" s="110"/>
      <c r="O233" s="110"/>
      <c r="P233" s="197"/>
      <c r="Q233" s="197"/>
      <c r="R233" s="197"/>
      <c r="S233" s="197"/>
      <c r="T233" s="197">
        <f t="shared" si="30"/>
        <v>0</v>
      </c>
      <c r="U233" s="110"/>
      <c r="V233" s="110"/>
      <c r="W233" s="110"/>
      <c r="X233" s="110"/>
      <c r="Y233" s="110"/>
      <c r="Z233" s="110"/>
      <c r="AA233" s="110"/>
      <c r="AB233" s="110"/>
      <c r="AC233" s="110"/>
      <c r="AD233" s="110"/>
      <c r="AE233" s="110">
        <f t="shared" si="31"/>
        <v>-540</v>
      </c>
      <c r="AF233" s="198">
        <v>1</v>
      </c>
      <c r="AG233" s="198">
        <v>2.8</v>
      </c>
      <c r="AH233" s="199">
        <v>539</v>
      </c>
      <c r="AI233" s="199"/>
      <c r="AJ233" s="196" t="s">
        <v>543</v>
      </c>
      <c r="AK233" s="196"/>
      <c r="AL233" s="196"/>
      <c r="AM233" s="200">
        <v>43082</v>
      </c>
      <c r="AN233" s="200">
        <v>44926</v>
      </c>
      <c r="AO233" s="107">
        <v>45630</v>
      </c>
      <c r="AP233" s="107">
        <v>45630</v>
      </c>
      <c r="AQ233" s="107"/>
      <c r="AR233" s="107"/>
      <c r="AS233" s="107">
        <v>44153</v>
      </c>
      <c r="AT233" s="107"/>
      <c r="AU233" s="218">
        <v>44953</v>
      </c>
      <c r="AV233" s="218" t="s">
        <v>82</v>
      </c>
      <c r="AW233" s="204" t="s">
        <v>70</v>
      </c>
      <c r="AX233" s="107"/>
      <c r="AY233" s="107">
        <v>45721</v>
      </c>
      <c r="AZ233" s="107"/>
      <c r="BA233" s="107"/>
      <c r="BB233" s="107"/>
      <c r="BC233" s="107"/>
      <c r="BD233" s="107"/>
      <c r="BE233" s="107"/>
      <c r="BF233" s="107"/>
      <c r="BG233" s="321"/>
      <c r="BH233" s="285" t="s">
        <v>1549</v>
      </c>
    </row>
    <row r="234" spans="1:60" s="61" customFormat="1" ht="20.100000000000001" customHeight="1">
      <c r="A234" s="195">
        <v>229</v>
      </c>
      <c r="B234" s="196" t="s">
        <v>463</v>
      </c>
      <c r="C234" s="65" t="s">
        <v>64</v>
      </c>
      <c r="D234" s="65" t="s">
        <v>73</v>
      </c>
      <c r="E234" s="65" t="s">
        <v>557</v>
      </c>
      <c r="F234" s="65" t="s">
        <v>558</v>
      </c>
      <c r="G234" s="110">
        <v>55807</v>
      </c>
      <c r="H234" s="196" t="s">
        <v>559</v>
      </c>
      <c r="I234" s="110">
        <v>45</v>
      </c>
      <c r="J234" s="110">
        <f t="shared" si="29"/>
        <v>898</v>
      </c>
      <c r="K234" s="110">
        <v>288</v>
      </c>
      <c r="L234" s="110">
        <v>513</v>
      </c>
      <c r="M234" s="110">
        <v>49</v>
      </c>
      <c r="N234" s="110"/>
      <c r="O234" s="110">
        <v>48</v>
      </c>
      <c r="P234" s="197"/>
      <c r="Q234" s="197"/>
      <c r="R234" s="197"/>
      <c r="S234" s="197"/>
      <c r="T234" s="197">
        <f t="shared" si="30"/>
        <v>0</v>
      </c>
      <c r="U234" s="110"/>
      <c r="V234" s="110"/>
      <c r="W234" s="110"/>
      <c r="X234" s="110"/>
      <c r="Y234" s="110"/>
      <c r="Z234" s="110"/>
      <c r="AA234" s="110"/>
      <c r="AB234" s="110"/>
      <c r="AC234" s="110"/>
      <c r="AD234" s="110"/>
      <c r="AE234" s="110">
        <f t="shared" si="31"/>
        <v>-898</v>
      </c>
      <c r="AF234" s="198">
        <v>1.19</v>
      </c>
      <c r="AG234" s="198">
        <v>2.4</v>
      </c>
      <c r="AH234" s="199">
        <v>856</v>
      </c>
      <c r="AI234" s="199"/>
      <c r="AJ234" s="65" t="s">
        <v>92</v>
      </c>
      <c r="AK234" s="196"/>
      <c r="AL234" s="196"/>
      <c r="AM234" s="200">
        <v>41389</v>
      </c>
      <c r="AN234" s="200"/>
      <c r="AO234" s="107">
        <v>43063</v>
      </c>
      <c r="AP234" s="107">
        <v>43063</v>
      </c>
      <c r="AQ234" s="107"/>
      <c r="AR234" s="107">
        <v>43220</v>
      </c>
      <c r="AS234" s="107">
        <v>42069</v>
      </c>
      <c r="AT234" s="107"/>
      <c r="AU234" s="218">
        <v>42173</v>
      </c>
      <c r="AV234" s="218" t="s">
        <v>82</v>
      </c>
      <c r="AW234" s="204" t="s">
        <v>70</v>
      </c>
      <c r="AX234" s="107"/>
      <c r="AY234" s="107">
        <v>45313</v>
      </c>
      <c r="AZ234" s="107"/>
      <c r="BA234" s="107"/>
      <c r="BB234" s="107"/>
      <c r="BC234" s="107"/>
      <c r="BD234" s="107"/>
      <c r="BE234" s="107"/>
      <c r="BF234" s="107"/>
      <c r="BG234" s="321"/>
      <c r="BH234" s="285" t="s">
        <v>1549</v>
      </c>
    </row>
    <row r="235" spans="1:60" s="61" customFormat="1" ht="20.100000000000001" customHeight="1">
      <c r="A235" s="195">
        <v>230</v>
      </c>
      <c r="B235" s="196" t="s">
        <v>463</v>
      </c>
      <c r="C235" s="65" t="s">
        <v>64</v>
      </c>
      <c r="D235" s="65" t="s">
        <v>73</v>
      </c>
      <c r="E235" s="65" t="s">
        <v>560</v>
      </c>
      <c r="F235" s="65" t="s">
        <v>561</v>
      </c>
      <c r="G235" s="110">
        <v>22865</v>
      </c>
      <c r="H235" s="196" t="s">
        <v>562</v>
      </c>
      <c r="I235" s="110">
        <v>68</v>
      </c>
      <c r="J235" s="110">
        <f t="shared" si="29"/>
        <v>299</v>
      </c>
      <c r="K235" s="110"/>
      <c r="L235" s="110">
        <v>299</v>
      </c>
      <c r="M235" s="110"/>
      <c r="N235" s="110"/>
      <c r="O235" s="110"/>
      <c r="P235" s="197"/>
      <c r="Q235" s="197"/>
      <c r="R235" s="197"/>
      <c r="S235" s="197"/>
      <c r="T235" s="197">
        <f t="shared" si="30"/>
        <v>0</v>
      </c>
      <c r="U235" s="110"/>
      <c r="V235" s="110"/>
      <c r="W235" s="110"/>
      <c r="X235" s="110"/>
      <c r="Y235" s="110"/>
      <c r="Z235" s="110"/>
      <c r="AA235" s="110"/>
      <c r="AB235" s="110"/>
      <c r="AC235" s="110"/>
      <c r="AD235" s="110"/>
      <c r="AE235" s="110">
        <f t="shared" si="31"/>
        <v>-299</v>
      </c>
      <c r="AF235" s="198">
        <v>1.19</v>
      </c>
      <c r="AG235" s="198">
        <v>2.6</v>
      </c>
      <c r="AH235" s="199">
        <v>230</v>
      </c>
      <c r="AI235" s="199"/>
      <c r="AJ235" s="65" t="s">
        <v>92</v>
      </c>
      <c r="AK235" s="196">
        <v>2009</v>
      </c>
      <c r="AL235" s="196"/>
      <c r="AM235" s="200">
        <v>38975</v>
      </c>
      <c r="AN235" s="200" t="s">
        <v>563</v>
      </c>
      <c r="AO235" s="107">
        <v>40823</v>
      </c>
      <c r="AP235" s="107">
        <v>40984</v>
      </c>
      <c r="AQ235" s="107"/>
      <c r="AR235" s="107">
        <v>39958</v>
      </c>
      <c r="AS235" s="107"/>
      <c r="AT235" s="107"/>
      <c r="AU235" s="218"/>
      <c r="AV235" s="218" t="s">
        <v>70</v>
      </c>
      <c r="AW235" s="204" t="s">
        <v>70</v>
      </c>
      <c r="AX235" s="107"/>
      <c r="AY235" s="107">
        <v>44267</v>
      </c>
      <c r="AZ235" s="107"/>
      <c r="BA235" s="107"/>
      <c r="BB235" s="107"/>
      <c r="BC235" s="107"/>
      <c r="BD235" s="107"/>
      <c r="BE235" s="107"/>
      <c r="BF235" s="107"/>
      <c r="BG235" s="321"/>
      <c r="BH235" s="285" t="s">
        <v>1549</v>
      </c>
    </row>
    <row r="236" spans="1:60" s="61" customFormat="1" ht="20.100000000000001" customHeight="1">
      <c r="A236" s="195">
        <v>231</v>
      </c>
      <c r="B236" s="196" t="s">
        <v>463</v>
      </c>
      <c r="C236" s="65" t="s">
        <v>64</v>
      </c>
      <c r="D236" s="65" t="s">
        <v>73</v>
      </c>
      <c r="E236" s="65" t="s">
        <v>564</v>
      </c>
      <c r="F236" s="65" t="s">
        <v>565</v>
      </c>
      <c r="G236" s="110">
        <v>41191.199999999997</v>
      </c>
      <c r="H236" s="196">
        <v>1986</v>
      </c>
      <c r="I236" s="110">
        <v>17</v>
      </c>
      <c r="J236" s="110">
        <f t="shared" si="29"/>
        <v>590</v>
      </c>
      <c r="K236" s="110">
        <v>284</v>
      </c>
      <c r="L236" s="110">
        <v>306</v>
      </c>
      <c r="M236" s="110"/>
      <c r="N236" s="110"/>
      <c r="O236" s="110"/>
      <c r="P236" s="197"/>
      <c r="Q236" s="197"/>
      <c r="R236" s="197"/>
      <c r="S236" s="197"/>
      <c r="T236" s="197">
        <f t="shared" si="30"/>
        <v>0</v>
      </c>
      <c r="U236" s="110"/>
      <c r="V236" s="110"/>
      <c r="W236" s="110"/>
      <c r="X236" s="110"/>
      <c r="Y236" s="110"/>
      <c r="Z236" s="110"/>
      <c r="AA236" s="110"/>
      <c r="AB236" s="110"/>
      <c r="AC236" s="110"/>
      <c r="AD236" s="110"/>
      <c r="AE236" s="110">
        <f t="shared" si="31"/>
        <v>-590</v>
      </c>
      <c r="AF236" s="198">
        <v>0.87</v>
      </c>
      <c r="AG236" s="198">
        <v>2.6</v>
      </c>
      <c r="AH236" s="199">
        <v>572</v>
      </c>
      <c r="AI236" s="199"/>
      <c r="AJ236" s="65" t="s">
        <v>566</v>
      </c>
      <c r="AK236" s="196">
        <v>2013</v>
      </c>
      <c r="AL236" s="196"/>
      <c r="AM236" s="200">
        <v>41389</v>
      </c>
      <c r="AN236" s="200">
        <v>41389</v>
      </c>
      <c r="AO236" s="107">
        <v>41932</v>
      </c>
      <c r="AP236" s="107">
        <v>42244</v>
      </c>
      <c r="AQ236" s="107"/>
      <c r="AR236" s="107">
        <v>42339</v>
      </c>
      <c r="AS236" s="107">
        <v>41596</v>
      </c>
      <c r="AT236" s="107"/>
      <c r="AU236" s="218">
        <v>41690</v>
      </c>
      <c r="AV236" s="218" t="s">
        <v>70</v>
      </c>
      <c r="AW236" s="204" t="s">
        <v>70</v>
      </c>
      <c r="AX236" s="107"/>
      <c r="AY236" s="107">
        <v>44902</v>
      </c>
      <c r="AZ236" s="107"/>
      <c r="BA236" s="107"/>
      <c r="BB236" s="107"/>
      <c r="BC236" s="107"/>
      <c r="BD236" s="107"/>
      <c r="BE236" s="107"/>
      <c r="BF236" s="107"/>
      <c r="BG236" s="321"/>
      <c r="BH236" s="285" t="s">
        <v>1548</v>
      </c>
    </row>
    <row r="237" spans="1:60" s="61" customFormat="1" ht="20.100000000000001" customHeight="1">
      <c r="A237" s="195">
        <v>232</v>
      </c>
      <c r="B237" s="196" t="s">
        <v>463</v>
      </c>
      <c r="C237" s="65" t="s">
        <v>65</v>
      </c>
      <c r="D237" s="65" t="s">
        <v>73</v>
      </c>
      <c r="E237" s="65" t="s">
        <v>555</v>
      </c>
      <c r="F237" s="65" t="s">
        <v>556</v>
      </c>
      <c r="G237" s="110">
        <v>27829.5</v>
      </c>
      <c r="H237" s="196">
        <v>1990</v>
      </c>
      <c r="I237" s="110">
        <v>24</v>
      </c>
      <c r="J237" s="110">
        <f>SUM(K237:O237)</f>
        <v>415</v>
      </c>
      <c r="K237" s="110">
        <v>20</v>
      </c>
      <c r="L237" s="110">
        <v>321</v>
      </c>
      <c r="M237" s="110">
        <v>74</v>
      </c>
      <c r="N237" s="110"/>
      <c r="O237" s="110"/>
      <c r="P237" s="197">
        <v>578</v>
      </c>
      <c r="Q237" s="197"/>
      <c r="R237" s="197"/>
      <c r="S237" s="197"/>
      <c r="T237" s="197">
        <f>U237+AA237</f>
        <v>578</v>
      </c>
      <c r="U237" s="110">
        <v>578</v>
      </c>
      <c r="V237" s="110"/>
      <c r="W237" s="110">
        <v>322</v>
      </c>
      <c r="X237" s="110">
        <v>256</v>
      </c>
      <c r="Y237" s="110"/>
      <c r="Z237" s="110"/>
      <c r="AA237" s="110"/>
      <c r="AB237" s="110"/>
      <c r="AC237" s="110"/>
      <c r="AD237" s="110"/>
      <c r="AE237" s="110">
        <f>T237-J237</f>
        <v>163</v>
      </c>
      <c r="AF237" s="198">
        <v>1.19</v>
      </c>
      <c r="AG237" s="198">
        <v>2.4996999999999998</v>
      </c>
      <c r="AH237" s="199">
        <v>454</v>
      </c>
      <c r="AI237" s="199">
        <v>429</v>
      </c>
      <c r="AJ237" s="65" t="s">
        <v>92</v>
      </c>
      <c r="AK237" s="196"/>
      <c r="AL237" s="196"/>
      <c r="AM237" s="200">
        <v>41389</v>
      </c>
      <c r="AN237" s="200">
        <v>42850</v>
      </c>
      <c r="AO237" s="107"/>
      <c r="AP237" s="107">
        <v>44069</v>
      </c>
      <c r="AQ237" s="107">
        <v>45279</v>
      </c>
      <c r="AR237" s="107">
        <v>44103</v>
      </c>
      <c r="AS237" s="107">
        <v>42870</v>
      </c>
      <c r="AT237" s="107"/>
      <c r="AU237" s="218">
        <v>42965</v>
      </c>
      <c r="AV237" s="218" t="s">
        <v>82</v>
      </c>
      <c r="AW237" s="204" t="s">
        <v>70</v>
      </c>
      <c r="AX237" s="107"/>
      <c r="AY237" s="107">
        <v>44771</v>
      </c>
      <c r="AZ237" s="107">
        <v>46203</v>
      </c>
      <c r="BA237" s="107"/>
      <c r="BB237" s="107"/>
      <c r="BC237" s="107"/>
      <c r="BD237" s="107"/>
      <c r="BE237" s="107"/>
      <c r="BF237" s="107"/>
      <c r="BG237" s="321"/>
      <c r="BH237" s="285" t="s">
        <v>1549</v>
      </c>
    </row>
    <row r="238" spans="1:60" s="61" customFormat="1" ht="20.100000000000001" customHeight="1">
      <c r="A238" s="195">
        <v>233</v>
      </c>
      <c r="B238" s="196" t="s">
        <v>463</v>
      </c>
      <c r="C238" s="65" t="s">
        <v>65</v>
      </c>
      <c r="D238" s="65" t="s">
        <v>73</v>
      </c>
      <c r="E238" s="65" t="s">
        <v>567</v>
      </c>
      <c r="F238" s="65" t="s">
        <v>568</v>
      </c>
      <c r="G238" s="110">
        <v>46908.6</v>
      </c>
      <c r="H238" s="196" t="s">
        <v>569</v>
      </c>
      <c r="I238" s="110">
        <v>41</v>
      </c>
      <c r="J238" s="110">
        <f t="shared" ref="J238:J243" si="32">SUM(K238:O238)</f>
        <v>735</v>
      </c>
      <c r="K238" s="110">
        <v>54</v>
      </c>
      <c r="L238" s="110">
        <v>579</v>
      </c>
      <c r="M238" s="110">
        <v>102</v>
      </c>
      <c r="N238" s="110"/>
      <c r="O238" s="110"/>
      <c r="P238" s="197">
        <v>918</v>
      </c>
      <c r="Q238" s="197">
        <v>746</v>
      </c>
      <c r="R238" s="197">
        <f>P238-Q238</f>
        <v>172</v>
      </c>
      <c r="S238" s="197"/>
      <c r="T238" s="197">
        <f t="shared" si="30"/>
        <v>918</v>
      </c>
      <c r="U238" s="110">
        <f>W238+X238+Y238</f>
        <v>918</v>
      </c>
      <c r="V238" s="110"/>
      <c r="W238" s="110">
        <f>35+249+183</f>
        <v>467</v>
      </c>
      <c r="X238" s="110">
        <f>86+231+99</f>
        <v>416</v>
      </c>
      <c r="Y238" s="110">
        <f>33+1+1</f>
        <v>35</v>
      </c>
      <c r="Z238" s="110"/>
      <c r="AA238" s="110"/>
      <c r="AB238" s="110"/>
      <c r="AC238" s="110"/>
      <c r="AD238" s="110"/>
      <c r="AE238" s="110">
        <f t="shared" si="31"/>
        <v>183</v>
      </c>
      <c r="AF238" s="198">
        <v>1.18</v>
      </c>
      <c r="AG238" s="198">
        <v>2.4964</v>
      </c>
      <c r="AH238" s="199">
        <v>770</v>
      </c>
      <c r="AI238" s="199">
        <v>746</v>
      </c>
      <c r="AJ238" s="65" t="s">
        <v>92</v>
      </c>
      <c r="AK238" s="196"/>
      <c r="AL238" s="196"/>
      <c r="AM238" s="200">
        <v>41389</v>
      </c>
      <c r="AN238" s="200">
        <v>42850</v>
      </c>
      <c r="AO238" s="107"/>
      <c r="AP238" s="107">
        <v>44069</v>
      </c>
      <c r="AQ238" s="107"/>
      <c r="AR238" s="107">
        <v>44103</v>
      </c>
      <c r="AS238" s="107">
        <v>42873</v>
      </c>
      <c r="AT238" s="107"/>
      <c r="AU238" s="218">
        <v>42965</v>
      </c>
      <c r="AV238" s="218" t="s">
        <v>82</v>
      </c>
      <c r="AW238" s="204" t="s">
        <v>70</v>
      </c>
      <c r="AX238" s="107"/>
      <c r="AY238" s="107">
        <v>44833</v>
      </c>
      <c r="AZ238" s="108">
        <v>46064</v>
      </c>
      <c r="BA238" s="107"/>
      <c r="BB238" s="107"/>
      <c r="BC238" s="107"/>
      <c r="BD238" s="107"/>
      <c r="BE238" s="107"/>
      <c r="BF238" s="107"/>
      <c r="BG238" s="321"/>
      <c r="BH238" s="285" t="s">
        <v>1548</v>
      </c>
    </row>
    <row r="239" spans="1:60" s="61" customFormat="1" ht="20.100000000000001" customHeight="1">
      <c r="A239" s="195">
        <v>234</v>
      </c>
      <c r="B239" s="196" t="s">
        <v>463</v>
      </c>
      <c r="C239" s="65" t="s">
        <v>65</v>
      </c>
      <c r="D239" s="65" t="s">
        <v>73</v>
      </c>
      <c r="E239" s="65" t="s">
        <v>570</v>
      </c>
      <c r="F239" s="65" t="s">
        <v>571</v>
      </c>
      <c r="G239" s="110">
        <v>47417.7</v>
      </c>
      <c r="H239" s="196" t="s">
        <v>572</v>
      </c>
      <c r="I239" s="110">
        <v>43</v>
      </c>
      <c r="J239" s="110">
        <f t="shared" si="32"/>
        <v>768</v>
      </c>
      <c r="K239" s="110"/>
      <c r="L239" s="110">
        <v>653</v>
      </c>
      <c r="M239" s="110">
        <v>115</v>
      </c>
      <c r="N239" s="110"/>
      <c r="O239" s="110"/>
      <c r="P239" s="197">
        <v>1012</v>
      </c>
      <c r="Q239" s="197">
        <v>771</v>
      </c>
      <c r="R239" s="197">
        <f>P239-Q239</f>
        <v>241</v>
      </c>
      <c r="S239" s="197"/>
      <c r="T239" s="197">
        <f t="shared" si="30"/>
        <v>0</v>
      </c>
      <c r="U239" s="110"/>
      <c r="V239" s="110"/>
      <c r="W239" s="110"/>
      <c r="X239" s="110"/>
      <c r="Y239" s="110"/>
      <c r="Z239" s="110"/>
      <c r="AA239" s="110"/>
      <c r="AB239" s="110"/>
      <c r="AC239" s="110"/>
      <c r="AD239" s="110"/>
      <c r="AE239" s="110">
        <f t="shared" si="31"/>
        <v>-768</v>
      </c>
      <c r="AF239" s="198">
        <v>1.24</v>
      </c>
      <c r="AG239" s="198">
        <v>2.4956999999999998</v>
      </c>
      <c r="AH239" s="199">
        <v>776</v>
      </c>
      <c r="AI239" s="199">
        <v>771</v>
      </c>
      <c r="AJ239" s="65" t="s">
        <v>92</v>
      </c>
      <c r="AK239" s="196"/>
      <c r="AL239" s="196"/>
      <c r="AM239" s="200">
        <v>41389</v>
      </c>
      <c r="AN239" s="200">
        <v>42850</v>
      </c>
      <c r="AO239" s="107"/>
      <c r="AP239" s="107">
        <v>44069</v>
      </c>
      <c r="AQ239" s="107"/>
      <c r="AR239" s="107">
        <v>44103</v>
      </c>
      <c r="AS239" s="107">
        <v>42865</v>
      </c>
      <c r="AT239" s="107"/>
      <c r="AU239" s="218">
        <v>42965</v>
      </c>
      <c r="AV239" s="218" t="s">
        <v>82</v>
      </c>
      <c r="AW239" s="204" t="s">
        <v>70</v>
      </c>
      <c r="AX239" s="107"/>
      <c r="AY239" s="107">
        <v>44447</v>
      </c>
      <c r="AZ239" s="107">
        <v>46022</v>
      </c>
      <c r="BA239" s="107"/>
      <c r="BB239" s="107"/>
      <c r="BC239" s="107"/>
      <c r="BD239" s="107"/>
      <c r="BE239" s="107"/>
      <c r="BF239" s="107"/>
      <c r="BG239" s="321"/>
      <c r="BH239" s="285" t="s">
        <v>1548</v>
      </c>
    </row>
    <row r="240" spans="1:60" s="61" customFormat="1" ht="20.100000000000001" customHeight="1">
      <c r="A240" s="195">
        <v>235</v>
      </c>
      <c r="B240" s="196" t="s">
        <v>463</v>
      </c>
      <c r="C240" s="65" t="s">
        <v>66</v>
      </c>
      <c r="D240" s="65" t="s">
        <v>73</v>
      </c>
      <c r="E240" s="65" t="s">
        <v>573</v>
      </c>
      <c r="F240" s="65" t="s">
        <v>574</v>
      </c>
      <c r="G240" s="110">
        <v>35747.9</v>
      </c>
      <c r="H240" s="196">
        <v>1986</v>
      </c>
      <c r="I240" s="110">
        <v>16</v>
      </c>
      <c r="J240" s="110">
        <f t="shared" si="32"/>
        <v>570</v>
      </c>
      <c r="K240" s="110">
        <v>204</v>
      </c>
      <c r="L240" s="110">
        <v>366</v>
      </c>
      <c r="M240" s="110"/>
      <c r="N240" s="110"/>
      <c r="O240" s="110"/>
      <c r="P240" s="197">
        <f>SUM(Q240:S240)</f>
        <v>897</v>
      </c>
      <c r="Q240" s="197">
        <v>565</v>
      </c>
      <c r="R240" s="197">
        <v>332</v>
      </c>
      <c r="S240" s="197"/>
      <c r="T240" s="197">
        <f t="shared" si="30"/>
        <v>897</v>
      </c>
      <c r="U240" s="110">
        <f t="shared" ref="U240:U263" si="33">SUM(V240:Z240)</f>
        <v>897</v>
      </c>
      <c r="V240" s="110"/>
      <c r="W240" s="110">
        <v>489</v>
      </c>
      <c r="X240" s="110">
        <v>374</v>
      </c>
      <c r="Y240" s="110">
        <v>34</v>
      </c>
      <c r="Z240" s="110"/>
      <c r="AA240" s="110"/>
      <c r="AB240" s="110"/>
      <c r="AC240" s="110"/>
      <c r="AD240" s="110"/>
      <c r="AE240" s="110">
        <f t="shared" si="31"/>
        <v>327</v>
      </c>
      <c r="AF240" s="198">
        <v>0.8</v>
      </c>
      <c r="AG240" s="198">
        <v>2.75</v>
      </c>
      <c r="AH240" s="199">
        <v>562</v>
      </c>
      <c r="AI240" s="199">
        <v>562</v>
      </c>
      <c r="AJ240" s="65" t="s">
        <v>92</v>
      </c>
      <c r="AK240" s="196">
        <v>2013</v>
      </c>
      <c r="AL240" s="196"/>
      <c r="AM240" s="200">
        <v>41389</v>
      </c>
      <c r="AN240" s="200">
        <v>41389</v>
      </c>
      <c r="AO240" s="107">
        <v>41932</v>
      </c>
      <c r="AP240" s="107">
        <v>42244</v>
      </c>
      <c r="AQ240" s="107"/>
      <c r="AR240" s="107">
        <v>42348</v>
      </c>
      <c r="AS240" s="107">
        <v>41596</v>
      </c>
      <c r="AT240" s="107"/>
      <c r="AU240" s="218">
        <v>41690</v>
      </c>
      <c r="AV240" s="218" t="s">
        <v>70</v>
      </c>
      <c r="AW240" s="204" t="s">
        <v>70</v>
      </c>
      <c r="AX240" s="107"/>
      <c r="AY240" s="107">
        <v>42977</v>
      </c>
      <c r="AZ240" s="107">
        <v>44440</v>
      </c>
      <c r="BA240" s="108">
        <v>45707</v>
      </c>
      <c r="BB240" s="107"/>
      <c r="BC240" s="107"/>
      <c r="BD240" s="107"/>
      <c r="BE240" s="107"/>
      <c r="BF240" s="107"/>
      <c r="BG240" s="321"/>
      <c r="BH240" s="285" t="s">
        <v>1548</v>
      </c>
    </row>
    <row r="241" spans="1:60" s="61" customFormat="1" ht="20.100000000000001" customHeight="1">
      <c r="A241" s="195">
        <v>236</v>
      </c>
      <c r="B241" s="196" t="s">
        <v>463</v>
      </c>
      <c r="C241" s="65" t="s">
        <v>67</v>
      </c>
      <c r="D241" s="65" t="s">
        <v>73</v>
      </c>
      <c r="E241" s="65" t="s">
        <v>575</v>
      </c>
      <c r="F241" s="65" t="s">
        <v>576</v>
      </c>
      <c r="G241" s="110">
        <v>42749.8</v>
      </c>
      <c r="H241" s="196">
        <v>1986</v>
      </c>
      <c r="I241" s="110">
        <v>21</v>
      </c>
      <c r="J241" s="110">
        <f t="shared" si="32"/>
        <v>538</v>
      </c>
      <c r="K241" s="110"/>
      <c r="L241" s="110">
        <v>348</v>
      </c>
      <c r="M241" s="110">
        <v>190</v>
      </c>
      <c r="N241" s="110"/>
      <c r="O241" s="110"/>
      <c r="P241" s="197">
        <f>SUM(Q241:S241)</f>
        <v>1051</v>
      </c>
      <c r="Q241" s="197">
        <v>540</v>
      </c>
      <c r="R241" s="197">
        <v>511</v>
      </c>
      <c r="S241" s="197"/>
      <c r="T241" s="197">
        <f t="shared" si="30"/>
        <v>1051</v>
      </c>
      <c r="U241" s="110">
        <f t="shared" si="33"/>
        <v>1051</v>
      </c>
      <c r="V241" s="110"/>
      <c r="W241" s="110">
        <v>611</v>
      </c>
      <c r="X241" s="110">
        <v>403</v>
      </c>
      <c r="Y241" s="110">
        <v>37</v>
      </c>
      <c r="Z241" s="110"/>
      <c r="AA241" s="110"/>
      <c r="AB241" s="110"/>
      <c r="AC241" s="110"/>
      <c r="AD241" s="110"/>
      <c r="AE241" s="110">
        <f t="shared" si="31"/>
        <v>513</v>
      </c>
      <c r="AF241" s="198">
        <v>0.77</v>
      </c>
      <c r="AG241" s="198">
        <v>2.79</v>
      </c>
      <c r="AH241" s="199">
        <v>530</v>
      </c>
      <c r="AI241" s="199">
        <v>527</v>
      </c>
      <c r="AJ241" s="65" t="s">
        <v>92</v>
      </c>
      <c r="AK241" s="196">
        <v>2013</v>
      </c>
      <c r="AL241" s="196"/>
      <c r="AM241" s="200">
        <v>41389</v>
      </c>
      <c r="AN241" s="200">
        <v>41389</v>
      </c>
      <c r="AO241" s="107">
        <v>41932</v>
      </c>
      <c r="AP241" s="107">
        <v>42244</v>
      </c>
      <c r="AQ241" s="107"/>
      <c r="AR241" s="107">
        <v>42579</v>
      </c>
      <c r="AS241" s="107">
        <v>41596</v>
      </c>
      <c r="AT241" s="107"/>
      <c r="AU241" s="218">
        <v>41690</v>
      </c>
      <c r="AV241" s="218" t="s">
        <v>70</v>
      </c>
      <c r="AW241" s="204" t="s">
        <v>70</v>
      </c>
      <c r="AX241" s="107"/>
      <c r="AY241" s="107">
        <v>42863</v>
      </c>
      <c r="AZ241" s="107">
        <v>44083</v>
      </c>
      <c r="BA241" s="107">
        <v>44650</v>
      </c>
      <c r="BB241" s="107">
        <v>45238</v>
      </c>
      <c r="BC241" s="107">
        <v>45267</v>
      </c>
      <c r="BD241" s="107"/>
      <c r="BE241" s="107"/>
      <c r="BF241" s="107"/>
      <c r="BG241" s="321"/>
      <c r="BH241" s="285" t="s">
        <v>1548</v>
      </c>
    </row>
    <row r="242" spans="1:60" s="61" customFormat="1" ht="20.100000000000001" customHeight="1">
      <c r="A242" s="195">
        <v>237</v>
      </c>
      <c r="B242" s="196" t="s">
        <v>463</v>
      </c>
      <c r="C242" s="65" t="s">
        <v>67</v>
      </c>
      <c r="D242" s="65" t="s">
        <v>73</v>
      </c>
      <c r="E242" s="65" t="s">
        <v>577</v>
      </c>
      <c r="F242" s="65" t="s">
        <v>578</v>
      </c>
      <c r="G242" s="110">
        <v>20752.599999999999</v>
      </c>
      <c r="H242" s="196">
        <v>1990</v>
      </c>
      <c r="I242" s="110">
        <v>15</v>
      </c>
      <c r="J242" s="110">
        <f t="shared" si="32"/>
        <v>299</v>
      </c>
      <c r="K242" s="110"/>
      <c r="L242" s="110"/>
      <c r="M242" s="110">
        <v>287</v>
      </c>
      <c r="N242" s="110">
        <v>4</v>
      </c>
      <c r="O242" s="110">
        <v>8</v>
      </c>
      <c r="P242" s="197">
        <f>SUM(Q242:S242)</f>
        <v>472</v>
      </c>
      <c r="Q242" s="197">
        <v>294</v>
      </c>
      <c r="R242" s="197">
        <v>178</v>
      </c>
      <c r="S242" s="197"/>
      <c r="T242" s="197">
        <f t="shared" si="30"/>
        <v>472</v>
      </c>
      <c r="U242" s="110">
        <f t="shared" si="33"/>
        <v>472</v>
      </c>
      <c r="V242" s="110"/>
      <c r="W242" s="110">
        <v>244</v>
      </c>
      <c r="X242" s="110">
        <v>228</v>
      </c>
      <c r="Y242" s="110"/>
      <c r="Z242" s="110"/>
      <c r="AA242" s="110"/>
      <c r="AB242" s="110"/>
      <c r="AC242" s="110"/>
      <c r="AD242" s="110"/>
      <c r="AE242" s="110">
        <f t="shared" si="31"/>
        <v>173</v>
      </c>
      <c r="AF242" s="198">
        <v>1.68</v>
      </c>
      <c r="AG242" s="198">
        <v>2.2999999999999998</v>
      </c>
      <c r="AH242" s="199">
        <v>299</v>
      </c>
      <c r="AI242" s="199">
        <v>296</v>
      </c>
      <c r="AJ242" s="65" t="s">
        <v>92</v>
      </c>
      <c r="AK242" s="196">
        <v>2013</v>
      </c>
      <c r="AL242" s="196"/>
      <c r="AM242" s="200">
        <v>41389</v>
      </c>
      <c r="AN242" s="200">
        <v>41389</v>
      </c>
      <c r="AO242" s="107">
        <v>41932</v>
      </c>
      <c r="AP242" s="107">
        <v>42244</v>
      </c>
      <c r="AQ242" s="107"/>
      <c r="AR242" s="107">
        <v>42691</v>
      </c>
      <c r="AS242" s="107">
        <v>41596</v>
      </c>
      <c r="AT242" s="107"/>
      <c r="AU242" s="218">
        <v>41690</v>
      </c>
      <c r="AV242" s="218" t="s">
        <v>70</v>
      </c>
      <c r="AW242" s="204" t="s">
        <v>70</v>
      </c>
      <c r="AX242" s="107"/>
      <c r="AY242" s="107">
        <v>42907</v>
      </c>
      <c r="AZ242" s="107">
        <v>43950</v>
      </c>
      <c r="BA242" s="107">
        <v>44355</v>
      </c>
      <c r="BB242" s="107">
        <v>45258</v>
      </c>
      <c r="BC242" s="107">
        <v>45351</v>
      </c>
      <c r="BD242" s="107"/>
      <c r="BE242" s="107"/>
      <c r="BF242" s="107"/>
      <c r="BG242" s="321"/>
      <c r="BH242" s="285" t="s">
        <v>1548</v>
      </c>
    </row>
    <row r="243" spans="1:60" s="61" customFormat="1" ht="20.100000000000001" customHeight="1">
      <c r="A243" s="195">
        <v>238</v>
      </c>
      <c r="B243" s="196" t="s">
        <v>463</v>
      </c>
      <c r="C243" s="65" t="s">
        <v>67</v>
      </c>
      <c r="D243" s="65" t="s">
        <v>73</v>
      </c>
      <c r="E243" s="65" t="s">
        <v>579</v>
      </c>
      <c r="F243" s="65" t="s">
        <v>580</v>
      </c>
      <c r="G243" s="110">
        <v>26019.4</v>
      </c>
      <c r="H243" s="196">
        <v>1990</v>
      </c>
      <c r="I243" s="110">
        <v>12</v>
      </c>
      <c r="J243" s="110">
        <f t="shared" si="32"/>
        <v>540</v>
      </c>
      <c r="K243" s="110"/>
      <c r="L243" s="110">
        <v>400</v>
      </c>
      <c r="M243" s="110">
        <v>140</v>
      </c>
      <c r="N243" s="110"/>
      <c r="O243" s="110"/>
      <c r="P243" s="197">
        <f>SUM(Q243:S243)</f>
        <v>725</v>
      </c>
      <c r="Q243" s="197">
        <v>485</v>
      </c>
      <c r="R243" s="197">
        <v>207</v>
      </c>
      <c r="S243" s="197">
        <v>33</v>
      </c>
      <c r="T243" s="197">
        <f t="shared" ref="T243:T263" si="34">U243+AA243</f>
        <v>725</v>
      </c>
      <c r="U243" s="110">
        <f t="shared" si="33"/>
        <v>692</v>
      </c>
      <c r="V243" s="110"/>
      <c r="W243" s="110">
        <v>407</v>
      </c>
      <c r="X243" s="110">
        <v>285</v>
      </c>
      <c r="Y243" s="110"/>
      <c r="Z243" s="110"/>
      <c r="AA243" s="110">
        <f>SUM(AB243:AD243)</f>
        <v>33</v>
      </c>
      <c r="AB243" s="110"/>
      <c r="AC243" s="110">
        <v>33</v>
      </c>
      <c r="AD243" s="110"/>
      <c r="AE243" s="110">
        <f t="shared" si="31"/>
        <v>185</v>
      </c>
      <c r="AF243" s="198">
        <v>1.6</v>
      </c>
      <c r="AG243" s="198">
        <v>2.99</v>
      </c>
      <c r="AH243" s="199">
        <v>540</v>
      </c>
      <c r="AI243" s="199">
        <v>471</v>
      </c>
      <c r="AJ243" s="196" t="s">
        <v>92</v>
      </c>
      <c r="AK243" s="196">
        <v>2003</v>
      </c>
      <c r="AL243" s="196"/>
      <c r="AM243" s="200">
        <v>38975</v>
      </c>
      <c r="AN243" s="200" t="s">
        <v>563</v>
      </c>
      <c r="AO243" s="200">
        <v>40126</v>
      </c>
      <c r="AP243" s="107">
        <v>40115</v>
      </c>
      <c r="AQ243" s="107">
        <v>44895</v>
      </c>
      <c r="AR243" s="107">
        <v>37986</v>
      </c>
      <c r="AS243" s="107">
        <v>38131</v>
      </c>
      <c r="AT243" s="107"/>
      <c r="AU243" s="218">
        <v>38498</v>
      </c>
      <c r="AV243" s="218" t="s">
        <v>70</v>
      </c>
      <c r="AW243" s="204" t="s">
        <v>70</v>
      </c>
      <c r="AX243" s="107"/>
      <c r="AY243" s="107">
        <v>40232</v>
      </c>
      <c r="AZ243" s="107">
        <v>43286</v>
      </c>
      <c r="BA243" s="107">
        <v>44020</v>
      </c>
      <c r="BB243" s="107">
        <v>44503</v>
      </c>
      <c r="BC243" s="107">
        <v>44504</v>
      </c>
      <c r="BD243" s="107"/>
      <c r="BE243" s="107"/>
      <c r="BF243" s="107"/>
      <c r="BG243" s="321"/>
      <c r="BH243" s="285" t="s">
        <v>1549</v>
      </c>
    </row>
    <row r="244" spans="1:60" s="61" customFormat="1" ht="20.100000000000001" customHeight="1">
      <c r="A244" s="195">
        <v>239</v>
      </c>
      <c r="B244" s="196" t="s">
        <v>463</v>
      </c>
      <c r="C244" s="65" t="s">
        <v>68</v>
      </c>
      <c r="D244" s="65" t="s">
        <v>73</v>
      </c>
      <c r="E244" s="65" t="s">
        <v>581</v>
      </c>
      <c r="F244" s="65" t="s">
        <v>582</v>
      </c>
      <c r="G244" s="110">
        <v>7215.23</v>
      </c>
      <c r="H244" s="196">
        <v>1993</v>
      </c>
      <c r="I244" s="110">
        <v>6</v>
      </c>
      <c r="J244" s="110">
        <v>123</v>
      </c>
      <c r="K244" s="110"/>
      <c r="L244" s="110">
        <v>123</v>
      </c>
      <c r="M244" s="110"/>
      <c r="N244" s="110"/>
      <c r="O244" s="110"/>
      <c r="P244" s="197">
        <f>SUM(Q244:S244)</f>
        <v>133</v>
      </c>
      <c r="Q244" s="197">
        <v>108</v>
      </c>
      <c r="R244" s="197">
        <v>25</v>
      </c>
      <c r="S244" s="197"/>
      <c r="T244" s="197">
        <f t="shared" si="34"/>
        <v>133</v>
      </c>
      <c r="U244" s="110">
        <f t="shared" si="33"/>
        <v>133</v>
      </c>
      <c r="V244" s="110"/>
      <c r="W244" s="110">
        <v>46</v>
      </c>
      <c r="X244" s="110">
        <v>87</v>
      </c>
      <c r="Y244" s="110"/>
      <c r="Z244" s="110"/>
      <c r="AA244" s="110"/>
      <c r="AB244" s="110"/>
      <c r="AC244" s="110"/>
      <c r="AD244" s="110"/>
      <c r="AE244" s="110">
        <f t="shared" si="31"/>
        <v>10</v>
      </c>
      <c r="AF244" s="198">
        <v>1.04</v>
      </c>
      <c r="AG244" s="198">
        <v>2.2999999999999998</v>
      </c>
      <c r="AH244" s="199">
        <v>124</v>
      </c>
      <c r="AI244" s="199">
        <v>124</v>
      </c>
      <c r="AJ244" s="196" t="s">
        <v>92</v>
      </c>
      <c r="AK244" s="196">
        <v>2003</v>
      </c>
      <c r="AL244" s="196"/>
      <c r="AM244" s="200">
        <v>38975</v>
      </c>
      <c r="AN244" s="200"/>
      <c r="AO244" s="107"/>
      <c r="AP244" s="107">
        <v>41732</v>
      </c>
      <c r="AQ244" s="107">
        <v>43704</v>
      </c>
      <c r="AR244" s="107">
        <v>37985</v>
      </c>
      <c r="AS244" s="107">
        <v>37978</v>
      </c>
      <c r="AT244" s="107"/>
      <c r="AU244" s="218">
        <v>39044</v>
      </c>
      <c r="AV244" s="218" t="s">
        <v>70</v>
      </c>
      <c r="AW244" s="204" t="s">
        <v>70</v>
      </c>
      <c r="AX244" s="107"/>
      <c r="AY244" s="107">
        <v>39890</v>
      </c>
      <c r="AZ244" s="107">
        <v>43978</v>
      </c>
      <c r="BA244" s="107">
        <v>44419</v>
      </c>
      <c r="BB244" s="107">
        <v>44876</v>
      </c>
      <c r="BC244" s="209"/>
      <c r="BD244" s="107">
        <v>45604</v>
      </c>
      <c r="BE244" s="107">
        <v>45770</v>
      </c>
      <c r="BF244" s="107"/>
      <c r="BG244" s="321"/>
      <c r="BH244" s="285" t="s">
        <v>1549</v>
      </c>
    </row>
    <row r="245" spans="1:60" s="61" customFormat="1" ht="20.100000000000001" customHeight="1">
      <c r="A245" s="195">
        <v>240</v>
      </c>
      <c r="B245" s="196" t="s">
        <v>463</v>
      </c>
      <c r="C245" s="65" t="s">
        <v>68</v>
      </c>
      <c r="D245" s="65" t="s">
        <v>73</v>
      </c>
      <c r="E245" s="65" t="s">
        <v>583</v>
      </c>
      <c r="F245" s="65" t="s">
        <v>584</v>
      </c>
      <c r="G245" s="110">
        <v>16151</v>
      </c>
      <c r="H245" s="196" t="s">
        <v>585</v>
      </c>
      <c r="I245" s="110">
        <v>57</v>
      </c>
      <c r="J245" s="110">
        <f t="shared" ref="J245:J263" si="35">SUM(K245:O245)</f>
        <v>350</v>
      </c>
      <c r="K245" s="208" t="s">
        <v>115</v>
      </c>
      <c r="L245" s="110">
        <v>350</v>
      </c>
      <c r="M245" s="110"/>
      <c r="N245" s="110"/>
      <c r="O245" s="110"/>
      <c r="P245" s="197">
        <v>377</v>
      </c>
      <c r="Q245" s="197">
        <v>91</v>
      </c>
      <c r="R245" s="197">
        <v>275</v>
      </c>
      <c r="S245" s="197">
        <v>11</v>
      </c>
      <c r="T245" s="197">
        <f t="shared" si="34"/>
        <v>377</v>
      </c>
      <c r="U245" s="110">
        <f t="shared" si="33"/>
        <v>366</v>
      </c>
      <c r="V245" s="110"/>
      <c r="W245" s="110">
        <v>262</v>
      </c>
      <c r="X245" s="110">
        <v>104</v>
      </c>
      <c r="Y245" s="110"/>
      <c r="Z245" s="110"/>
      <c r="AA245" s="110">
        <f>SUM(AB245:AD245)</f>
        <v>11</v>
      </c>
      <c r="AB245" s="110"/>
      <c r="AC245" s="110">
        <v>11</v>
      </c>
      <c r="AD245" s="110"/>
      <c r="AE245" s="110">
        <f t="shared" si="31"/>
        <v>27</v>
      </c>
      <c r="AF245" s="198">
        <v>1.64</v>
      </c>
      <c r="AG245" s="198">
        <v>2.5</v>
      </c>
      <c r="AH245" s="199">
        <v>81</v>
      </c>
      <c r="AI245" s="199">
        <v>56</v>
      </c>
      <c r="AJ245" s="196" t="s">
        <v>92</v>
      </c>
      <c r="AK245" s="196">
        <v>2008</v>
      </c>
      <c r="AL245" s="196"/>
      <c r="AM245" s="200">
        <v>38975</v>
      </c>
      <c r="AN245" s="200"/>
      <c r="AO245" s="107"/>
      <c r="AP245" s="107">
        <v>40631</v>
      </c>
      <c r="AQ245" s="107">
        <v>41817</v>
      </c>
      <c r="AR245" s="107">
        <v>39538</v>
      </c>
      <c r="AS245" s="107"/>
      <c r="AT245" s="107"/>
      <c r="AU245" s="218"/>
      <c r="AV245" s="218" t="s">
        <v>70</v>
      </c>
      <c r="AW245" s="204" t="s">
        <v>70</v>
      </c>
      <c r="AX245" s="107"/>
      <c r="AY245" s="107">
        <v>40829</v>
      </c>
      <c r="AZ245" s="107">
        <v>42004</v>
      </c>
      <c r="BA245" s="107">
        <v>43406</v>
      </c>
      <c r="BB245" s="107">
        <v>44392</v>
      </c>
      <c r="BC245" s="107">
        <v>44483</v>
      </c>
      <c r="BD245" s="107">
        <v>45425</v>
      </c>
      <c r="BE245" s="107">
        <v>45650</v>
      </c>
      <c r="BF245" s="107"/>
      <c r="BG245" s="321"/>
      <c r="BH245" s="285" t="s">
        <v>1549</v>
      </c>
    </row>
    <row r="246" spans="1:60" s="61" customFormat="1" ht="20.100000000000001" customHeight="1">
      <c r="A246" s="195">
        <v>241</v>
      </c>
      <c r="B246" s="196" t="s">
        <v>463</v>
      </c>
      <c r="C246" s="65" t="s">
        <v>68</v>
      </c>
      <c r="D246" s="65" t="s">
        <v>73</v>
      </c>
      <c r="E246" s="65" t="s">
        <v>586</v>
      </c>
      <c r="F246" s="65" t="s">
        <v>587</v>
      </c>
      <c r="G246" s="110">
        <v>56702</v>
      </c>
      <c r="H246" s="196">
        <v>1984</v>
      </c>
      <c r="I246" s="110">
        <v>22</v>
      </c>
      <c r="J246" s="110">
        <f t="shared" si="35"/>
        <v>450</v>
      </c>
      <c r="K246" s="110"/>
      <c r="L246" s="110"/>
      <c r="M246" s="110">
        <v>450</v>
      </c>
      <c r="N246" s="110"/>
      <c r="O246" s="110"/>
      <c r="P246" s="197">
        <f t="shared" ref="P246:P263" si="36">SUM(Q246:S246)</f>
        <v>990</v>
      </c>
      <c r="Q246" s="197">
        <v>450</v>
      </c>
      <c r="R246" s="197">
        <v>540</v>
      </c>
      <c r="S246" s="197"/>
      <c r="T246" s="197">
        <f t="shared" si="34"/>
        <v>990</v>
      </c>
      <c r="U246" s="110">
        <f t="shared" si="33"/>
        <v>990</v>
      </c>
      <c r="V246" s="110"/>
      <c r="W246" s="110"/>
      <c r="X246" s="110">
        <v>658</v>
      </c>
      <c r="Y246" s="110">
        <v>332</v>
      </c>
      <c r="Z246" s="110"/>
      <c r="AA246" s="110"/>
      <c r="AB246" s="110"/>
      <c r="AC246" s="110"/>
      <c r="AD246" s="110"/>
      <c r="AE246" s="110">
        <f t="shared" si="31"/>
        <v>540</v>
      </c>
      <c r="AF246" s="198">
        <v>0.63</v>
      </c>
      <c r="AG246" s="198">
        <v>2.59</v>
      </c>
      <c r="AH246" s="199">
        <v>457</v>
      </c>
      <c r="AI246" s="199">
        <v>457</v>
      </c>
      <c r="AJ246" s="196" t="s">
        <v>92</v>
      </c>
      <c r="AK246" s="196">
        <v>2003</v>
      </c>
      <c r="AL246" s="196">
        <v>2017</v>
      </c>
      <c r="AM246" s="200">
        <v>38975</v>
      </c>
      <c r="AN246" s="200"/>
      <c r="AO246" s="107"/>
      <c r="AP246" s="107">
        <v>39510</v>
      </c>
      <c r="AQ246" s="107">
        <v>41415</v>
      </c>
      <c r="AR246" s="107">
        <v>37973</v>
      </c>
      <c r="AS246" s="107">
        <v>38106</v>
      </c>
      <c r="AT246" s="107"/>
      <c r="AU246" s="218">
        <v>38474</v>
      </c>
      <c r="AV246" s="218" t="s">
        <v>70</v>
      </c>
      <c r="AW246" s="204" t="s">
        <v>70</v>
      </c>
      <c r="AX246" s="107"/>
      <c r="AY246" s="107">
        <v>40018</v>
      </c>
      <c r="AZ246" s="107">
        <v>41479</v>
      </c>
      <c r="BA246" s="107">
        <v>41906</v>
      </c>
      <c r="BB246" s="107">
        <v>42216</v>
      </c>
      <c r="BC246" s="107">
        <v>42220</v>
      </c>
      <c r="BD246" s="107">
        <v>43217</v>
      </c>
      <c r="BE246" s="107"/>
      <c r="BF246" s="107"/>
      <c r="BG246" s="321"/>
      <c r="BH246" s="285" t="s">
        <v>1549</v>
      </c>
    </row>
    <row r="247" spans="1:60" s="61" customFormat="1" ht="20.100000000000001" customHeight="1">
      <c r="A247" s="195">
        <v>242</v>
      </c>
      <c r="B247" s="196" t="s">
        <v>463</v>
      </c>
      <c r="C247" s="65" t="s">
        <v>68</v>
      </c>
      <c r="D247" s="65" t="s">
        <v>73</v>
      </c>
      <c r="E247" s="65" t="s">
        <v>588</v>
      </c>
      <c r="F247" s="65" t="s">
        <v>589</v>
      </c>
      <c r="G247" s="110">
        <v>30380</v>
      </c>
      <c r="H247" s="196">
        <v>1989</v>
      </c>
      <c r="I247" s="110">
        <v>19</v>
      </c>
      <c r="J247" s="110">
        <f t="shared" si="35"/>
        <v>600</v>
      </c>
      <c r="K247" s="110"/>
      <c r="L247" s="110">
        <v>600</v>
      </c>
      <c r="M247" s="110"/>
      <c r="N247" s="110"/>
      <c r="O247" s="110"/>
      <c r="P247" s="197">
        <f t="shared" si="36"/>
        <v>766</v>
      </c>
      <c r="Q247" s="197">
        <v>766</v>
      </c>
      <c r="R247" s="197"/>
      <c r="S247" s="197"/>
      <c r="T247" s="197">
        <f t="shared" si="34"/>
        <v>766</v>
      </c>
      <c r="U247" s="110">
        <f t="shared" si="33"/>
        <v>766</v>
      </c>
      <c r="V247" s="110"/>
      <c r="W247" s="110">
        <v>382</v>
      </c>
      <c r="X247" s="110">
        <v>384</v>
      </c>
      <c r="Y247" s="110"/>
      <c r="Z247" s="110"/>
      <c r="AA247" s="110"/>
      <c r="AB247" s="110"/>
      <c r="AC247" s="110"/>
      <c r="AD247" s="110"/>
      <c r="AE247" s="110">
        <f t="shared" si="31"/>
        <v>166</v>
      </c>
      <c r="AF247" s="198">
        <v>1.25</v>
      </c>
      <c r="AG247" s="198">
        <v>2.4900000000000002</v>
      </c>
      <c r="AH247" s="199">
        <v>829</v>
      </c>
      <c r="AI247" s="199">
        <v>829</v>
      </c>
      <c r="AJ247" s="196" t="s">
        <v>92</v>
      </c>
      <c r="AK247" s="196">
        <v>2000</v>
      </c>
      <c r="AL247" s="196">
        <v>2010</v>
      </c>
      <c r="AM247" s="200" t="s">
        <v>126</v>
      </c>
      <c r="AN247" s="200"/>
      <c r="AO247" s="200"/>
      <c r="AP247" s="107">
        <v>38615</v>
      </c>
      <c r="AQ247" s="107"/>
      <c r="AR247" s="107"/>
      <c r="AS247" s="107"/>
      <c r="AT247" s="107"/>
      <c r="AU247" s="218">
        <v>36690</v>
      </c>
      <c r="AV247" s="218" t="s">
        <v>70</v>
      </c>
      <c r="AW247" s="204" t="s">
        <v>70</v>
      </c>
      <c r="AX247" s="107"/>
      <c r="AY247" s="107">
        <v>37621</v>
      </c>
      <c r="AZ247" s="107">
        <v>38632</v>
      </c>
      <c r="BA247" s="107">
        <v>39482</v>
      </c>
      <c r="BB247" s="107">
        <v>39681</v>
      </c>
      <c r="BC247" s="107"/>
      <c r="BD247" s="107">
        <v>40540</v>
      </c>
      <c r="BE247" s="107">
        <v>40623</v>
      </c>
      <c r="BF247" s="107"/>
      <c r="BG247" s="321"/>
      <c r="BH247" s="285" t="s">
        <v>1548</v>
      </c>
    </row>
    <row r="248" spans="1:60" s="61" customFormat="1" ht="18.75" customHeight="1">
      <c r="A248" s="195">
        <v>243</v>
      </c>
      <c r="B248" s="196" t="s">
        <v>463</v>
      </c>
      <c r="C248" s="65" t="s">
        <v>68</v>
      </c>
      <c r="D248" s="65" t="s">
        <v>73</v>
      </c>
      <c r="E248" s="65" t="s">
        <v>590</v>
      </c>
      <c r="F248" s="65" t="s">
        <v>591</v>
      </c>
      <c r="G248" s="110">
        <v>34394</v>
      </c>
      <c r="H248" s="196">
        <v>1982</v>
      </c>
      <c r="I248" s="110">
        <v>19</v>
      </c>
      <c r="J248" s="110">
        <f t="shared" si="35"/>
        <v>766</v>
      </c>
      <c r="K248" s="110"/>
      <c r="L248" s="110">
        <v>766</v>
      </c>
      <c r="M248" s="110"/>
      <c r="N248" s="110"/>
      <c r="O248" s="110"/>
      <c r="P248" s="197">
        <f t="shared" si="36"/>
        <v>695</v>
      </c>
      <c r="Q248" s="197">
        <v>567</v>
      </c>
      <c r="R248" s="197">
        <v>128</v>
      </c>
      <c r="S248" s="197"/>
      <c r="T248" s="197">
        <f t="shared" si="34"/>
        <v>695</v>
      </c>
      <c r="U248" s="110">
        <f t="shared" si="33"/>
        <v>695</v>
      </c>
      <c r="V248" s="110"/>
      <c r="W248" s="110">
        <v>98</v>
      </c>
      <c r="X248" s="110">
        <v>502</v>
      </c>
      <c r="Y248" s="110">
        <v>95</v>
      </c>
      <c r="Z248" s="110"/>
      <c r="AA248" s="110"/>
      <c r="AB248" s="110"/>
      <c r="AC248" s="110"/>
      <c r="AD248" s="110"/>
      <c r="AE248" s="110">
        <f t="shared" si="31"/>
        <v>-71</v>
      </c>
      <c r="AF248" s="198">
        <v>0.86</v>
      </c>
      <c r="AG248" s="198">
        <v>2.4500000000000002</v>
      </c>
      <c r="AH248" s="199">
        <v>565</v>
      </c>
      <c r="AI248" s="199">
        <v>563</v>
      </c>
      <c r="AJ248" s="196" t="s">
        <v>92</v>
      </c>
      <c r="AK248" s="196">
        <v>2003</v>
      </c>
      <c r="AL248" s="196">
        <v>2014</v>
      </c>
      <c r="AM248" s="200">
        <v>38975</v>
      </c>
      <c r="AN248" s="200"/>
      <c r="AO248" s="107"/>
      <c r="AP248" s="107">
        <v>39695</v>
      </c>
      <c r="AQ248" s="107">
        <v>41113</v>
      </c>
      <c r="AR248" s="107">
        <v>37973</v>
      </c>
      <c r="AS248" s="107">
        <v>37960</v>
      </c>
      <c r="AT248" s="107"/>
      <c r="AU248" s="218">
        <v>38240</v>
      </c>
      <c r="AV248" s="218" t="s">
        <v>70</v>
      </c>
      <c r="AW248" s="204" t="s">
        <v>70</v>
      </c>
      <c r="AX248" s="107"/>
      <c r="AY248" s="107">
        <v>39769</v>
      </c>
      <c r="AZ248" s="107">
        <v>39869</v>
      </c>
      <c r="BA248" s="107">
        <v>40613</v>
      </c>
      <c r="BB248" s="107">
        <v>41289</v>
      </c>
      <c r="BC248" s="107">
        <v>42195</v>
      </c>
      <c r="BD248" s="107">
        <v>42195</v>
      </c>
      <c r="BE248" s="107">
        <v>42633</v>
      </c>
      <c r="BF248" s="107"/>
      <c r="BG248" s="321"/>
      <c r="BH248" s="285" t="s">
        <v>1549</v>
      </c>
    </row>
    <row r="249" spans="1:60" s="76" customFormat="1" ht="20.100000000000001" customHeight="1">
      <c r="A249" s="195">
        <v>244</v>
      </c>
      <c r="B249" s="196" t="s">
        <v>463</v>
      </c>
      <c r="C249" s="65" t="s">
        <v>137</v>
      </c>
      <c r="D249" s="65" t="s">
        <v>73</v>
      </c>
      <c r="E249" s="65" t="s">
        <v>592</v>
      </c>
      <c r="F249" s="65" t="s">
        <v>593</v>
      </c>
      <c r="G249" s="110">
        <v>17750</v>
      </c>
      <c r="H249" s="196" t="s">
        <v>540</v>
      </c>
      <c r="I249" s="110">
        <v>17</v>
      </c>
      <c r="J249" s="110">
        <f t="shared" si="35"/>
        <v>297</v>
      </c>
      <c r="K249" s="110">
        <v>66</v>
      </c>
      <c r="L249" s="110">
        <v>149</v>
      </c>
      <c r="M249" s="110">
        <v>73</v>
      </c>
      <c r="N249" s="110">
        <v>9</v>
      </c>
      <c r="O249" s="110"/>
      <c r="P249" s="197">
        <f t="shared" si="36"/>
        <v>449</v>
      </c>
      <c r="Q249" s="197">
        <v>291</v>
      </c>
      <c r="R249" s="197">
        <v>158</v>
      </c>
      <c r="S249" s="197"/>
      <c r="T249" s="197">
        <f t="shared" si="34"/>
        <v>449</v>
      </c>
      <c r="U249" s="110">
        <f t="shared" si="33"/>
        <v>449</v>
      </c>
      <c r="V249" s="110"/>
      <c r="W249" s="110">
        <v>377</v>
      </c>
      <c r="X249" s="110">
        <v>72</v>
      </c>
      <c r="Y249" s="110"/>
      <c r="Z249" s="110"/>
      <c r="AA249" s="110"/>
      <c r="AB249" s="110"/>
      <c r="AC249" s="110"/>
      <c r="AD249" s="110"/>
      <c r="AE249" s="110">
        <f t="shared" si="31"/>
        <v>152</v>
      </c>
      <c r="AF249" s="198">
        <v>1.1200000000000001</v>
      </c>
      <c r="AG249" s="198">
        <v>2.52</v>
      </c>
      <c r="AH249" s="199">
        <v>297</v>
      </c>
      <c r="AI249" s="199">
        <v>284</v>
      </c>
      <c r="AJ249" s="65" t="s">
        <v>92</v>
      </c>
      <c r="AK249" s="196">
        <v>2013</v>
      </c>
      <c r="AL249" s="196"/>
      <c r="AM249" s="200">
        <v>41389</v>
      </c>
      <c r="AN249" s="200">
        <v>41389</v>
      </c>
      <c r="AO249" s="107">
        <v>41932</v>
      </c>
      <c r="AP249" s="107">
        <v>42244</v>
      </c>
      <c r="AQ249" s="107"/>
      <c r="AR249" s="107">
        <v>42485</v>
      </c>
      <c r="AS249" s="107">
        <v>41596</v>
      </c>
      <c r="AT249" s="107"/>
      <c r="AU249" s="218">
        <v>41690</v>
      </c>
      <c r="AV249" s="218" t="s">
        <v>70</v>
      </c>
      <c r="AW249" s="204" t="s">
        <v>70</v>
      </c>
      <c r="AX249" s="107"/>
      <c r="AY249" s="107">
        <v>42907</v>
      </c>
      <c r="AZ249" s="107">
        <v>43524</v>
      </c>
      <c r="BA249" s="107">
        <v>43901</v>
      </c>
      <c r="BB249" s="107">
        <v>44286</v>
      </c>
      <c r="BC249" s="107">
        <v>44314</v>
      </c>
      <c r="BD249" s="107">
        <v>45259</v>
      </c>
      <c r="BE249" s="107">
        <v>45394</v>
      </c>
      <c r="BF249" s="107">
        <v>45679</v>
      </c>
      <c r="BG249" s="321"/>
      <c r="BH249" s="285" t="s">
        <v>1548</v>
      </c>
    </row>
    <row r="250" spans="1:60" s="61" customFormat="1" ht="20.100000000000001" customHeight="1">
      <c r="A250" s="195">
        <v>245</v>
      </c>
      <c r="B250" s="196" t="s">
        <v>463</v>
      </c>
      <c r="C250" s="65" t="s">
        <v>137</v>
      </c>
      <c r="D250" s="65" t="s">
        <v>73</v>
      </c>
      <c r="E250" s="65" t="s">
        <v>594</v>
      </c>
      <c r="F250" s="65" t="s">
        <v>595</v>
      </c>
      <c r="G250" s="110">
        <v>48063</v>
      </c>
      <c r="H250" s="196" t="s">
        <v>596</v>
      </c>
      <c r="I250" s="110">
        <v>152</v>
      </c>
      <c r="J250" s="110">
        <f t="shared" si="35"/>
        <v>1165</v>
      </c>
      <c r="K250" s="208" t="s">
        <v>115</v>
      </c>
      <c r="L250" s="110">
        <v>1165</v>
      </c>
      <c r="M250" s="110"/>
      <c r="N250" s="110"/>
      <c r="O250" s="110"/>
      <c r="P250" s="197">
        <f t="shared" si="36"/>
        <v>1021</v>
      </c>
      <c r="Q250" s="197">
        <v>105</v>
      </c>
      <c r="R250" s="197">
        <v>869</v>
      </c>
      <c r="S250" s="197">
        <v>47</v>
      </c>
      <c r="T250" s="197">
        <f t="shared" si="34"/>
        <v>1021</v>
      </c>
      <c r="U250" s="110">
        <f t="shared" si="33"/>
        <v>974</v>
      </c>
      <c r="V250" s="110"/>
      <c r="W250" s="110">
        <v>587</v>
      </c>
      <c r="X250" s="110">
        <v>387</v>
      </c>
      <c r="Y250" s="110"/>
      <c r="Z250" s="110"/>
      <c r="AA250" s="110">
        <v>47</v>
      </c>
      <c r="AB250" s="110"/>
      <c r="AC250" s="110">
        <v>47</v>
      </c>
      <c r="AD250" s="110"/>
      <c r="AE250" s="110">
        <f t="shared" si="31"/>
        <v>-144</v>
      </c>
      <c r="AF250" s="198">
        <v>1.46</v>
      </c>
      <c r="AG250" s="198">
        <v>2.5</v>
      </c>
      <c r="AH250" s="199">
        <v>148</v>
      </c>
      <c r="AI250" s="199">
        <v>54</v>
      </c>
      <c r="AJ250" s="196" t="s">
        <v>92</v>
      </c>
      <c r="AK250" s="196">
        <v>2008</v>
      </c>
      <c r="AL250" s="196"/>
      <c r="AM250" s="200">
        <v>38975</v>
      </c>
      <c r="AN250" s="200"/>
      <c r="AO250" s="107"/>
      <c r="AP250" s="107">
        <v>40631</v>
      </c>
      <c r="AQ250" s="107">
        <v>41817</v>
      </c>
      <c r="AR250" s="107">
        <v>39723</v>
      </c>
      <c r="AS250" s="107"/>
      <c r="AT250" s="107"/>
      <c r="AU250" s="218"/>
      <c r="AV250" s="218" t="s">
        <v>70</v>
      </c>
      <c r="AW250" s="204" t="s">
        <v>70</v>
      </c>
      <c r="AX250" s="107"/>
      <c r="AY250" s="107">
        <v>40795</v>
      </c>
      <c r="AZ250" s="107">
        <v>42117</v>
      </c>
      <c r="BA250" s="107">
        <v>43224</v>
      </c>
      <c r="BB250" s="107">
        <v>44230</v>
      </c>
      <c r="BC250" s="107">
        <v>44244</v>
      </c>
      <c r="BD250" s="107">
        <v>45293</v>
      </c>
      <c r="BE250" s="107">
        <v>45455</v>
      </c>
      <c r="BF250" s="107">
        <v>45833</v>
      </c>
      <c r="BG250" s="321"/>
      <c r="BH250" s="285" t="s">
        <v>1549</v>
      </c>
    </row>
    <row r="251" spans="1:60" s="61" customFormat="1" ht="20.100000000000001" customHeight="1">
      <c r="A251" s="195">
        <v>246</v>
      </c>
      <c r="B251" s="196" t="s">
        <v>463</v>
      </c>
      <c r="C251" s="65" t="s">
        <v>137</v>
      </c>
      <c r="D251" s="65" t="s">
        <v>73</v>
      </c>
      <c r="E251" s="65" t="s">
        <v>597</v>
      </c>
      <c r="F251" s="65" t="s">
        <v>598</v>
      </c>
      <c r="G251" s="110">
        <v>76639.899999999994</v>
      </c>
      <c r="H251" s="196" t="s">
        <v>599</v>
      </c>
      <c r="I251" s="110">
        <v>76</v>
      </c>
      <c r="J251" s="110">
        <f t="shared" si="35"/>
        <v>1126</v>
      </c>
      <c r="K251" s="208" t="s">
        <v>115</v>
      </c>
      <c r="L251" s="110">
        <v>1126</v>
      </c>
      <c r="M251" s="110"/>
      <c r="N251" s="110"/>
      <c r="O251" s="110"/>
      <c r="P251" s="197">
        <f t="shared" si="36"/>
        <v>1714</v>
      </c>
      <c r="Q251" s="197">
        <v>1109</v>
      </c>
      <c r="R251" s="197">
        <v>605</v>
      </c>
      <c r="S251" s="197"/>
      <c r="T251" s="197">
        <f t="shared" si="34"/>
        <v>1714</v>
      </c>
      <c r="U251" s="110">
        <f t="shared" si="33"/>
        <v>1714</v>
      </c>
      <c r="V251" s="110"/>
      <c r="W251" s="110">
        <v>1352</v>
      </c>
      <c r="X251" s="110">
        <v>362</v>
      </c>
      <c r="Y251" s="110"/>
      <c r="Z251" s="110"/>
      <c r="AA251" s="110"/>
      <c r="AB251" s="110"/>
      <c r="AC251" s="110"/>
      <c r="AD251" s="110"/>
      <c r="AE251" s="110">
        <f t="shared" si="31"/>
        <v>588</v>
      </c>
      <c r="AF251" s="198">
        <v>1.05</v>
      </c>
      <c r="AG251" s="198">
        <v>2.2999999999999998</v>
      </c>
      <c r="AH251" s="199">
        <v>1126</v>
      </c>
      <c r="AI251" s="199">
        <v>1101</v>
      </c>
      <c r="AJ251" s="196" t="s">
        <v>92</v>
      </c>
      <c r="AK251" s="196">
        <v>2003</v>
      </c>
      <c r="AL251" s="196"/>
      <c r="AM251" s="200">
        <v>38975</v>
      </c>
      <c r="AN251" s="200" t="s">
        <v>563</v>
      </c>
      <c r="AO251" s="200">
        <v>40507</v>
      </c>
      <c r="AP251" s="107">
        <v>40630</v>
      </c>
      <c r="AQ251" s="107">
        <v>42640</v>
      </c>
      <c r="AR251" s="107">
        <v>38988</v>
      </c>
      <c r="AS251" s="107">
        <v>38625</v>
      </c>
      <c r="AT251" s="107"/>
      <c r="AU251" s="218">
        <v>38784</v>
      </c>
      <c r="AV251" s="218" t="s">
        <v>70</v>
      </c>
      <c r="AW251" s="204" t="s">
        <v>70</v>
      </c>
      <c r="AX251" s="107"/>
      <c r="AY251" s="107">
        <v>41304</v>
      </c>
      <c r="AZ251" s="107">
        <v>42856</v>
      </c>
      <c r="BA251" s="107">
        <v>43097</v>
      </c>
      <c r="BB251" s="107">
        <v>43908</v>
      </c>
      <c r="BC251" s="107">
        <v>43914</v>
      </c>
      <c r="BD251" s="107">
        <v>44985</v>
      </c>
      <c r="BE251" s="107">
        <v>45380</v>
      </c>
      <c r="BF251" s="107">
        <v>45436</v>
      </c>
      <c r="BG251" s="321"/>
      <c r="BH251" s="285" t="s">
        <v>1548</v>
      </c>
    </row>
    <row r="252" spans="1:60" s="76" customFormat="1" ht="20.100000000000001" customHeight="1">
      <c r="A252" s="195">
        <v>247</v>
      </c>
      <c r="B252" s="196" t="s">
        <v>463</v>
      </c>
      <c r="C252" s="65" t="s">
        <v>137</v>
      </c>
      <c r="D252" s="65" t="s">
        <v>73</v>
      </c>
      <c r="E252" s="65" t="s">
        <v>600</v>
      </c>
      <c r="F252" s="65" t="s">
        <v>601</v>
      </c>
      <c r="G252" s="110">
        <v>64810</v>
      </c>
      <c r="H252" s="196" t="s">
        <v>599</v>
      </c>
      <c r="I252" s="110">
        <v>61</v>
      </c>
      <c r="J252" s="110">
        <f t="shared" si="35"/>
        <v>1123</v>
      </c>
      <c r="K252" s="208" t="s">
        <v>115</v>
      </c>
      <c r="L252" s="110">
        <v>1123</v>
      </c>
      <c r="M252" s="110"/>
      <c r="N252" s="110"/>
      <c r="O252" s="110"/>
      <c r="P252" s="197">
        <f t="shared" si="36"/>
        <v>1450</v>
      </c>
      <c r="Q252" s="197">
        <v>996</v>
      </c>
      <c r="R252" s="197">
        <v>425</v>
      </c>
      <c r="S252" s="197">
        <v>29</v>
      </c>
      <c r="T252" s="197">
        <f t="shared" si="34"/>
        <v>1450</v>
      </c>
      <c r="U252" s="110">
        <f t="shared" si="33"/>
        <v>1421</v>
      </c>
      <c r="V252" s="110"/>
      <c r="W252" s="110">
        <v>997</v>
      </c>
      <c r="X252" s="110">
        <v>424</v>
      </c>
      <c r="Y252" s="110"/>
      <c r="Z252" s="110"/>
      <c r="AA252" s="110">
        <v>29</v>
      </c>
      <c r="AB252" s="110"/>
      <c r="AC252" s="110">
        <v>29</v>
      </c>
      <c r="AD252" s="110"/>
      <c r="AE252" s="110">
        <f t="shared" si="31"/>
        <v>327</v>
      </c>
      <c r="AF252" s="198">
        <v>1.27</v>
      </c>
      <c r="AG252" s="198">
        <v>2.5</v>
      </c>
      <c r="AH252" s="199">
        <v>1123</v>
      </c>
      <c r="AI252" s="199">
        <v>1110</v>
      </c>
      <c r="AJ252" s="196" t="s">
        <v>92</v>
      </c>
      <c r="AK252" s="196">
        <v>2003</v>
      </c>
      <c r="AL252" s="196"/>
      <c r="AM252" s="200">
        <v>38975</v>
      </c>
      <c r="AN252" s="200"/>
      <c r="AO252" s="107"/>
      <c r="AP252" s="107">
        <v>40630</v>
      </c>
      <c r="AQ252" s="107">
        <v>43172</v>
      </c>
      <c r="AR252" s="107">
        <v>38869</v>
      </c>
      <c r="AS252" s="107">
        <v>38625</v>
      </c>
      <c r="AT252" s="107"/>
      <c r="AU252" s="218">
        <v>38784</v>
      </c>
      <c r="AV252" s="218" t="s">
        <v>70</v>
      </c>
      <c r="AW252" s="204" t="s">
        <v>70</v>
      </c>
      <c r="AX252" s="107"/>
      <c r="AY252" s="107">
        <v>40805</v>
      </c>
      <c r="AZ252" s="107">
        <v>42271</v>
      </c>
      <c r="BA252" s="107">
        <v>42842</v>
      </c>
      <c r="BB252" s="107">
        <v>43405</v>
      </c>
      <c r="BC252" s="107">
        <v>43797</v>
      </c>
      <c r="BD252" s="107">
        <v>44400</v>
      </c>
      <c r="BE252" s="107">
        <v>44762</v>
      </c>
      <c r="BF252" s="107">
        <v>45959</v>
      </c>
      <c r="BG252" s="321"/>
      <c r="BH252" s="285" t="s">
        <v>1549</v>
      </c>
    </row>
    <row r="253" spans="1:60" s="61" customFormat="1" ht="20.100000000000001" customHeight="1">
      <c r="A253" s="195">
        <v>248</v>
      </c>
      <c r="B253" s="196" t="s">
        <v>463</v>
      </c>
      <c r="C253" s="65" t="s">
        <v>137</v>
      </c>
      <c r="D253" s="65" t="s">
        <v>73</v>
      </c>
      <c r="E253" s="65" t="s">
        <v>602</v>
      </c>
      <c r="F253" s="65" t="s">
        <v>603</v>
      </c>
      <c r="G253" s="110">
        <v>28781</v>
      </c>
      <c r="H253" s="196">
        <v>1985</v>
      </c>
      <c r="I253" s="110">
        <v>13</v>
      </c>
      <c r="J253" s="110">
        <f t="shared" si="35"/>
        <v>480</v>
      </c>
      <c r="K253" s="110">
        <v>270</v>
      </c>
      <c r="L253" s="110">
        <v>210</v>
      </c>
      <c r="M253" s="110"/>
      <c r="N253" s="110"/>
      <c r="O253" s="110"/>
      <c r="P253" s="197">
        <f t="shared" si="36"/>
        <v>719</v>
      </c>
      <c r="Q253" s="197">
        <v>477</v>
      </c>
      <c r="R253" s="197">
        <v>242</v>
      </c>
      <c r="S253" s="197"/>
      <c r="T253" s="197">
        <f t="shared" si="34"/>
        <v>719</v>
      </c>
      <c r="U253" s="110">
        <f t="shared" si="33"/>
        <v>719</v>
      </c>
      <c r="V253" s="110"/>
      <c r="W253" s="110">
        <v>424</v>
      </c>
      <c r="X253" s="110">
        <v>295</v>
      </c>
      <c r="Y253" s="110"/>
      <c r="Z253" s="110"/>
      <c r="AA253" s="110"/>
      <c r="AB253" s="110"/>
      <c r="AC253" s="110"/>
      <c r="AD253" s="110"/>
      <c r="AE253" s="110">
        <f t="shared" si="31"/>
        <v>239</v>
      </c>
      <c r="AF253" s="198">
        <v>0.77</v>
      </c>
      <c r="AG253" s="198">
        <v>2.64</v>
      </c>
      <c r="AH253" s="199">
        <v>480</v>
      </c>
      <c r="AI253" s="199">
        <v>472</v>
      </c>
      <c r="AJ253" s="196" t="s">
        <v>92</v>
      </c>
      <c r="AK253" s="196">
        <v>2003</v>
      </c>
      <c r="AL253" s="196">
        <v>2015</v>
      </c>
      <c r="AM253" s="200">
        <v>38975</v>
      </c>
      <c r="AN253" s="200"/>
      <c r="AO253" s="107"/>
      <c r="AP253" s="107">
        <v>39695</v>
      </c>
      <c r="AQ253" s="107">
        <v>42657</v>
      </c>
      <c r="AR253" s="107">
        <v>37973</v>
      </c>
      <c r="AS253" s="107">
        <v>38120</v>
      </c>
      <c r="AT253" s="107"/>
      <c r="AU253" s="218">
        <v>38474</v>
      </c>
      <c r="AV253" s="218" t="s">
        <v>70</v>
      </c>
      <c r="AW253" s="204" t="s">
        <v>70</v>
      </c>
      <c r="AX253" s="107"/>
      <c r="AY253" s="107">
        <v>40204</v>
      </c>
      <c r="AZ253" s="107">
        <v>42304</v>
      </c>
      <c r="BA253" s="107">
        <v>42656</v>
      </c>
      <c r="BB253" s="107">
        <v>43124</v>
      </c>
      <c r="BC253" s="107">
        <v>43188</v>
      </c>
      <c r="BD253" s="107">
        <v>44099</v>
      </c>
      <c r="BE253" s="107">
        <v>44286</v>
      </c>
      <c r="BF253" s="107">
        <v>44490</v>
      </c>
      <c r="BG253" s="321"/>
      <c r="BH253" s="285" t="s">
        <v>1549</v>
      </c>
    </row>
    <row r="254" spans="1:60" s="61" customFormat="1" ht="20.100000000000001" customHeight="1">
      <c r="A254" s="195">
        <v>249</v>
      </c>
      <c r="B254" s="196" t="s">
        <v>463</v>
      </c>
      <c r="C254" s="65" t="s">
        <v>137</v>
      </c>
      <c r="D254" s="65" t="s">
        <v>73</v>
      </c>
      <c r="E254" s="65" t="s">
        <v>604</v>
      </c>
      <c r="F254" s="65" t="s">
        <v>605</v>
      </c>
      <c r="G254" s="110">
        <v>93027</v>
      </c>
      <c r="H254" s="196">
        <v>1984</v>
      </c>
      <c r="I254" s="110">
        <v>36</v>
      </c>
      <c r="J254" s="110">
        <f t="shared" si="35"/>
        <v>1080</v>
      </c>
      <c r="K254" s="110">
        <v>200</v>
      </c>
      <c r="L254" s="110">
        <v>490</v>
      </c>
      <c r="M254" s="110">
        <v>390</v>
      </c>
      <c r="N254" s="110"/>
      <c r="O254" s="110"/>
      <c r="P254" s="197">
        <f t="shared" si="36"/>
        <v>2017</v>
      </c>
      <c r="Q254" s="197">
        <v>1091</v>
      </c>
      <c r="R254" s="197">
        <v>926</v>
      </c>
      <c r="S254" s="197"/>
      <c r="T254" s="197">
        <f t="shared" si="34"/>
        <v>2017</v>
      </c>
      <c r="U254" s="110">
        <f t="shared" si="33"/>
        <v>2017</v>
      </c>
      <c r="V254" s="110"/>
      <c r="W254" s="110">
        <v>318</v>
      </c>
      <c r="X254" s="110">
        <v>1637</v>
      </c>
      <c r="Y254" s="110">
        <v>62</v>
      </c>
      <c r="Z254" s="110"/>
      <c r="AA254" s="110"/>
      <c r="AB254" s="110"/>
      <c r="AC254" s="110"/>
      <c r="AD254" s="110"/>
      <c r="AE254" s="110">
        <f t="shared" si="31"/>
        <v>937</v>
      </c>
      <c r="AF254" s="198">
        <v>0.76</v>
      </c>
      <c r="AG254" s="198">
        <v>2.59</v>
      </c>
      <c r="AH254" s="199">
        <v>1084</v>
      </c>
      <c r="AI254" s="199">
        <v>1077</v>
      </c>
      <c r="AJ254" s="196" t="s">
        <v>92</v>
      </c>
      <c r="AK254" s="196">
        <v>2003</v>
      </c>
      <c r="AL254" s="196">
        <v>2014</v>
      </c>
      <c r="AM254" s="200">
        <v>38975</v>
      </c>
      <c r="AN254" s="200"/>
      <c r="AO254" s="107"/>
      <c r="AP254" s="107">
        <v>39695</v>
      </c>
      <c r="AQ254" s="107">
        <v>42068</v>
      </c>
      <c r="AR254" s="107">
        <v>37970</v>
      </c>
      <c r="AS254" s="107">
        <v>38125</v>
      </c>
      <c r="AT254" s="107"/>
      <c r="AU254" s="218">
        <v>38474</v>
      </c>
      <c r="AV254" s="218" t="s">
        <v>70</v>
      </c>
      <c r="AW254" s="204" t="s">
        <v>70</v>
      </c>
      <c r="AX254" s="107"/>
      <c r="AY254" s="107">
        <v>39769</v>
      </c>
      <c r="AZ254" s="107">
        <v>39813</v>
      </c>
      <c r="BA254" s="107">
        <v>42507</v>
      </c>
      <c r="BB254" s="107">
        <v>42779</v>
      </c>
      <c r="BC254" s="107">
        <v>42789</v>
      </c>
      <c r="BD254" s="107">
        <v>43860</v>
      </c>
      <c r="BE254" s="107">
        <v>43971</v>
      </c>
      <c r="BF254" s="107">
        <v>44413</v>
      </c>
      <c r="BG254" s="321"/>
      <c r="BH254" s="285" t="s">
        <v>1549</v>
      </c>
    </row>
    <row r="255" spans="1:60" s="61" customFormat="1" ht="20.100000000000001" customHeight="1">
      <c r="A255" s="195">
        <v>250</v>
      </c>
      <c r="B255" s="196" t="s">
        <v>463</v>
      </c>
      <c r="C255" s="65" t="s">
        <v>137</v>
      </c>
      <c r="D255" s="65" t="s">
        <v>73</v>
      </c>
      <c r="E255" s="65" t="s">
        <v>606</v>
      </c>
      <c r="F255" s="65" t="s">
        <v>607</v>
      </c>
      <c r="G255" s="110">
        <v>68934</v>
      </c>
      <c r="H255" s="196" t="s">
        <v>608</v>
      </c>
      <c r="I255" s="110">
        <v>61</v>
      </c>
      <c r="J255" s="110">
        <f t="shared" si="35"/>
        <v>1026</v>
      </c>
      <c r="K255" s="110">
        <v>54</v>
      </c>
      <c r="L255" s="110">
        <v>761</v>
      </c>
      <c r="M255" s="110">
        <v>211</v>
      </c>
      <c r="N255" s="110"/>
      <c r="O255" s="110"/>
      <c r="P255" s="197">
        <f t="shared" si="36"/>
        <v>1548</v>
      </c>
      <c r="Q255" s="197">
        <v>1031</v>
      </c>
      <c r="R255" s="197">
        <v>517</v>
      </c>
      <c r="S255" s="197"/>
      <c r="T255" s="197">
        <f t="shared" si="34"/>
        <v>1548</v>
      </c>
      <c r="U255" s="110">
        <f t="shared" si="33"/>
        <v>1548</v>
      </c>
      <c r="V255" s="110"/>
      <c r="W255" s="110">
        <v>1132</v>
      </c>
      <c r="X255" s="110">
        <v>416</v>
      </c>
      <c r="Y255" s="110"/>
      <c r="Z255" s="110"/>
      <c r="AA255" s="110"/>
      <c r="AB255" s="110"/>
      <c r="AC255" s="110"/>
      <c r="AD255" s="110"/>
      <c r="AE255" s="110">
        <f t="shared" si="31"/>
        <v>522</v>
      </c>
      <c r="AF255" s="198">
        <v>1.17</v>
      </c>
      <c r="AG255" s="198">
        <v>2.5</v>
      </c>
      <c r="AH255" s="199">
        <v>1039</v>
      </c>
      <c r="AI255" s="199">
        <v>984</v>
      </c>
      <c r="AJ255" s="196" t="s">
        <v>92</v>
      </c>
      <c r="AK255" s="196">
        <v>2003</v>
      </c>
      <c r="AL255" s="196">
        <v>2016</v>
      </c>
      <c r="AM255" s="200">
        <v>38975</v>
      </c>
      <c r="AN255" s="200"/>
      <c r="AO255" s="107"/>
      <c r="AP255" s="107">
        <v>40630</v>
      </c>
      <c r="AQ255" s="107">
        <v>41782</v>
      </c>
      <c r="AR255" s="107">
        <v>38988</v>
      </c>
      <c r="AS255" s="107">
        <v>38625</v>
      </c>
      <c r="AT255" s="107"/>
      <c r="AU255" s="218">
        <v>38784</v>
      </c>
      <c r="AV255" s="218" t="s">
        <v>70</v>
      </c>
      <c r="AW255" s="204" t="s">
        <v>70</v>
      </c>
      <c r="AX255" s="107"/>
      <c r="AY255" s="107">
        <v>40771</v>
      </c>
      <c r="AZ255" s="107">
        <v>41828</v>
      </c>
      <c r="BA255" s="107">
        <v>42279</v>
      </c>
      <c r="BB255" s="107">
        <v>42657</v>
      </c>
      <c r="BC255" s="107">
        <v>42663</v>
      </c>
      <c r="BD255" s="107">
        <v>43636</v>
      </c>
      <c r="BE255" s="107">
        <v>43901</v>
      </c>
      <c r="BF255" s="107">
        <v>44286</v>
      </c>
      <c r="BG255" s="321"/>
      <c r="BH255" s="285" t="s">
        <v>1548</v>
      </c>
    </row>
    <row r="256" spans="1:60" s="61" customFormat="1" ht="20.100000000000001" customHeight="1">
      <c r="A256" s="195">
        <v>251</v>
      </c>
      <c r="B256" s="196" t="s">
        <v>463</v>
      </c>
      <c r="C256" s="65" t="s">
        <v>137</v>
      </c>
      <c r="D256" s="65" t="s">
        <v>73</v>
      </c>
      <c r="E256" s="65" t="s">
        <v>609</v>
      </c>
      <c r="F256" s="65" t="s">
        <v>610</v>
      </c>
      <c r="G256" s="110">
        <v>55879.199999999997</v>
      </c>
      <c r="H256" s="196" t="s">
        <v>611</v>
      </c>
      <c r="I256" s="110">
        <v>54</v>
      </c>
      <c r="J256" s="110">
        <f t="shared" si="35"/>
        <v>832</v>
      </c>
      <c r="K256" s="110"/>
      <c r="L256" s="110">
        <v>598</v>
      </c>
      <c r="M256" s="110">
        <v>234</v>
      </c>
      <c r="N256" s="110"/>
      <c r="O256" s="110"/>
      <c r="P256" s="197">
        <f t="shared" si="36"/>
        <v>1238</v>
      </c>
      <c r="Q256" s="197">
        <v>838</v>
      </c>
      <c r="R256" s="197">
        <v>400</v>
      </c>
      <c r="S256" s="197"/>
      <c r="T256" s="197">
        <f t="shared" si="34"/>
        <v>1238</v>
      </c>
      <c r="U256" s="110">
        <f t="shared" si="33"/>
        <v>1238</v>
      </c>
      <c r="V256" s="110"/>
      <c r="W256" s="110">
        <v>830</v>
      </c>
      <c r="X256" s="110">
        <v>408</v>
      </c>
      <c r="Y256" s="110"/>
      <c r="Z256" s="110"/>
      <c r="AA256" s="110"/>
      <c r="AB256" s="110"/>
      <c r="AC256" s="110"/>
      <c r="AD256" s="110"/>
      <c r="AE256" s="110">
        <f t="shared" si="31"/>
        <v>406</v>
      </c>
      <c r="AF256" s="198">
        <v>1.02</v>
      </c>
      <c r="AG256" s="198">
        <v>2.5</v>
      </c>
      <c r="AH256" s="199">
        <v>801</v>
      </c>
      <c r="AI256" s="199">
        <v>790</v>
      </c>
      <c r="AJ256" s="196" t="s">
        <v>92</v>
      </c>
      <c r="AK256" s="196">
        <v>2003</v>
      </c>
      <c r="AL256" s="196">
        <v>2016</v>
      </c>
      <c r="AM256" s="200">
        <v>38975</v>
      </c>
      <c r="AN256" s="200"/>
      <c r="AO256" s="107"/>
      <c r="AP256" s="107">
        <v>40630</v>
      </c>
      <c r="AQ256" s="107">
        <v>42467</v>
      </c>
      <c r="AR256" s="107">
        <v>38869</v>
      </c>
      <c r="AS256" s="107">
        <v>38625</v>
      </c>
      <c r="AT256" s="107"/>
      <c r="AU256" s="218">
        <v>38784</v>
      </c>
      <c r="AV256" s="218" t="s">
        <v>70</v>
      </c>
      <c r="AW256" s="204" t="s">
        <v>70</v>
      </c>
      <c r="AX256" s="107"/>
      <c r="AY256" s="107">
        <v>40777</v>
      </c>
      <c r="AZ256" s="107">
        <v>41835</v>
      </c>
      <c r="BA256" s="107">
        <v>42291</v>
      </c>
      <c r="BB256" s="107">
        <v>42661</v>
      </c>
      <c r="BC256" s="107">
        <v>42663</v>
      </c>
      <c r="BD256" s="107">
        <v>43636</v>
      </c>
      <c r="BE256" s="107">
        <v>43901</v>
      </c>
      <c r="BF256" s="107">
        <v>44252</v>
      </c>
      <c r="BG256" s="321"/>
      <c r="BH256" s="285" t="s">
        <v>1548</v>
      </c>
    </row>
    <row r="257" spans="1:60" s="61" customFormat="1" ht="20.100000000000001" customHeight="1">
      <c r="A257" s="195">
        <v>252</v>
      </c>
      <c r="B257" s="196" t="s">
        <v>463</v>
      </c>
      <c r="C257" s="65" t="s">
        <v>137</v>
      </c>
      <c r="D257" s="65" t="s">
        <v>73</v>
      </c>
      <c r="E257" s="65" t="s">
        <v>612</v>
      </c>
      <c r="F257" s="65" t="s">
        <v>613</v>
      </c>
      <c r="G257" s="110">
        <v>44269</v>
      </c>
      <c r="H257" s="196" t="s">
        <v>614</v>
      </c>
      <c r="I257" s="110">
        <v>50</v>
      </c>
      <c r="J257" s="110">
        <f t="shared" si="35"/>
        <v>723</v>
      </c>
      <c r="K257" s="110">
        <v>33</v>
      </c>
      <c r="L257" s="110">
        <v>582</v>
      </c>
      <c r="M257" s="110">
        <v>108</v>
      </c>
      <c r="N257" s="110"/>
      <c r="O257" s="110"/>
      <c r="P257" s="197">
        <f t="shared" si="36"/>
        <v>1005</v>
      </c>
      <c r="Q257" s="197">
        <v>730</v>
      </c>
      <c r="R257" s="197">
        <v>224</v>
      </c>
      <c r="S257" s="197">
        <v>51</v>
      </c>
      <c r="T257" s="197">
        <f t="shared" si="34"/>
        <v>1005</v>
      </c>
      <c r="U257" s="110">
        <f t="shared" si="33"/>
        <v>954</v>
      </c>
      <c r="V257" s="110"/>
      <c r="W257" s="110">
        <v>557</v>
      </c>
      <c r="X257" s="110">
        <v>397</v>
      </c>
      <c r="Y257" s="110"/>
      <c r="Z257" s="110"/>
      <c r="AA257" s="110">
        <f>SUM(AB257:AD257)</f>
        <v>51</v>
      </c>
      <c r="AB257" s="110"/>
      <c r="AC257" s="110">
        <v>51</v>
      </c>
      <c r="AD257" s="110"/>
      <c r="AE257" s="110">
        <f t="shared" si="31"/>
        <v>282</v>
      </c>
      <c r="AF257" s="198">
        <v>1.05</v>
      </c>
      <c r="AG257" s="198">
        <v>2.5</v>
      </c>
      <c r="AH257" s="199">
        <v>739</v>
      </c>
      <c r="AI257" s="199">
        <v>707</v>
      </c>
      <c r="AJ257" s="196" t="s">
        <v>92</v>
      </c>
      <c r="AK257" s="196">
        <v>2010</v>
      </c>
      <c r="AL257" s="196">
        <v>2015</v>
      </c>
      <c r="AM257" s="200">
        <v>40392</v>
      </c>
      <c r="AN257" s="200"/>
      <c r="AO257" s="107"/>
      <c r="AP257" s="107">
        <v>41082</v>
      </c>
      <c r="AQ257" s="107">
        <v>42374</v>
      </c>
      <c r="AR257" s="107">
        <v>41159</v>
      </c>
      <c r="AS257" s="107">
        <v>40501</v>
      </c>
      <c r="AT257" s="107"/>
      <c r="AU257" s="218">
        <v>40627</v>
      </c>
      <c r="AV257" s="218" t="s">
        <v>70</v>
      </c>
      <c r="AW257" s="204" t="s">
        <v>70</v>
      </c>
      <c r="AX257" s="107"/>
      <c r="AY257" s="107">
        <v>41337</v>
      </c>
      <c r="AZ257" s="107">
        <v>41964</v>
      </c>
      <c r="BA257" s="107">
        <v>42178</v>
      </c>
      <c r="BB257" s="107">
        <v>42425</v>
      </c>
      <c r="BC257" s="107">
        <v>42426</v>
      </c>
      <c r="BD257" s="107">
        <v>43403</v>
      </c>
      <c r="BE257" s="107">
        <v>43586</v>
      </c>
      <c r="BF257" s="107">
        <v>44235</v>
      </c>
      <c r="BG257" s="321"/>
      <c r="BH257" s="285" t="s">
        <v>1548</v>
      </c>
    </row>
    <row r="258" spans="1:60" s="61" customFormat="1" ht="20.100000000000001" customHeight="1">
      <c r="A258" s="195">
        <v>253</v>
      </c>
      <c r="B258" s="196" t="s">
        <v>463</v>
      </c>
      <c r="C258" s="65" t="s">
        <v>137</v>
      </c>
      <c r="D258" s="65" t="s">
        <v>73</v>
      </c>
      <c r="E258" s="65" t="s">
        <v>615</v>
      </c>
      <c r="F258" s="65" t="s">
        <v>616</v>
      </c>
      <c r="G258" s="110">
        <v>17856</v>
      </c>
      <c r="H258" s="196">
        <v>1985</v>
      </c>
      <c r="I258" s="110">
        <v>9</v>
      </c>
      <c r="J258" s="110">
        <f t="shared" si="35"/>
        <v>272</v>
      </c>
      <c r="K258" s="110"/>
      <c r="L258" s="110">
        <v>272</v>
      </c>
      <c r="M258" s="110"/>
      <c r="N258" s="110"/>
      <c r="O258" s="110"/>
      <c r="P258" s="197">
        <f t="shared" si="36"/>
        <v>414</v>
      </c>
      <c r="Q258" s="197">
        <v>272</v>
      </c>
      <c r="R258" s="197">
        <v>142</v>
      </c>
      <c r="S258" s="197"/>
      <c r="T258" s="197">
        <f t="shared" si="34"/>
        <v>414</v>
      </c>
      <c r="U258" s="110">
        <f t="shared" si="33"/>
        <v>414</v>
      </c>
      <c r="V258" s="110"/>
      <c r="W258" s="110">
        <v>231</v>
      </c>
      <c r="X258" s="110">
        <v>183</v>
      </c>
      <c r="Y258" s="110"/>
      <c r="Z258" s="110"/>
      <c r="AA258" s="110"/>
      <c r="AB258" s="110"/>
      <c r="AC258" s="110"/>
      <c r="AD258" s="110"/>
      <c r="AE258" s="110">
        <f t="shared" si="31"/>
        <v>142</v>
      </c>
      <c r="AF258" s="198">
        <v>0.75</v>
      </c>
      <c r="AG258" s="198">
        <v>2.5499999999999998</v>
      </c>
      <c r="AH258" s="199">
        <v>274</v>
      </c>
      <c r="AI258" s="199">
        <v>267</v>
      </c>
      <c r="AJ258" s="196" t="s">
        <v>92</v>
      </c>
      <c r="AK258" s="196">
        <v>2003</v>
      </c>
      <c r="AL258" s="196">
        <v>2015</v>
      </c>
      <c r="AM258" s="200">
        <v>38975</v>
      </c>
      <c r="AN258" s="200"/>
      <c r="AO258" s="107"/>
      <c r="AP258" s="107">
        <v>39924</v>
      </c>
      <c r="AQ258" s="107">
        <v>41572</v>
      </c>
      <c r="AR258" s="107">
        <v>37973</v>
      </c>
      <c r="AS258" s="107">
        <v>38126</v>
      </c>
      <c r="AT258" s="107"/>
      <c r="AU258" s="218">
        <v>38474</v>
      </c>
      <c r="AV258" s="218" t="s">
        <v>70</v>
      </c>
      <c r="AW258" s="204" t="s">
        <v>70</v>
      </c>
      <c r="AX258" s="107"/>
      <c r="AY258" s="107">
        <v>39975</v>
      </c>
      <c r="AZ258" s="107">
        <v>41849</v>
      </c>
      <c r="BA258" s="107">
        <v>42282</v>
      </c>
      <c r="BB258" s="107">
        <v>42541</v>
      </c>
      <c r="BC258" s="107">
        <v>42550</v>
      </c>
      <c r="BD258" s="107">
        <v>43401</v>
      </c>
      <c r="BE258" s="107">
        <v>43586</v>
      </c>
      <c r="BF258" s="107">
        <v>44152</v>
      </c>
      <c r="BG258" s="321"/>
      <c r="BH258" s="285" t="s">
        <v>1549</v>
      </c>
    </row>
    <row r="259" spans="1:60" s="61" customFormat="1">
      <c r="A259" s="195">
        <v>254</v>
      </c>
      <c r="B259" s="196" t="s">
        <v>463</v>
      </c>
      <c r="C259" s="65" t="s">
        <v>69</v>
      </c>
      <c r="D259" s="65" t="s">
        <v>73</v>
      </c>
      <c r="E259" s="219" t="s">
        <v>617</v>
      </c>
      <c r="F259" s="65" t="s">
        <v>618</v>
      </c>
      <c r="G259" s="110">
        <v>15437</v>
      </c>
      <c r="H259" s="196" t="s">
        <v>619</v>
      </c>
      <c r="I259" s="110">
        <v>54</v>
      </c>
      <c r="J259" s="110">
        <f t="shared" si="35"/>
        <v>267</v>
      </c>
      <c r="K259" s="110">
        <v>190</v>
      </c>
      <c r="L259" s="110">
        <v>73</v>
      </c>
      <c r="M259" s="110">
        <v>3</v>
      </c>
      <c r="N259" s="110">
        <v>1</v>
      </c>
      <c r="O259" s="110"/>
      <c r="P259" s="197">
        <f t="shared" si="36"/>
        <v>390</v>
      </c>
      <c r="Q259" s="197">
        <v>248</v>
      </c>
      <c r="R259" s="197">
        <v>142</v>
      </c>
      <c r="S259" s="197"/>
      <c r="T259" s="197">
        <f t="shared" si="34"/>
        <v>390</v>
      </c>
      <c r="U259" s="110">
        <f t="shared" si="33"/>
        <v>390</v>
      </c>
      <c r="V259" s="110"/>
      <c r="W259" s="110">
        <v>335</v>
      </c>
      <c r="X259" s="110">
        <v>55</v>
      </c>
      <c r="Y259" s="110"/>
      <c r="Z259" s="110"/>
      <c r="AA259" s="110"/>
      <c r="AB259" s="110"/>
      <c r="AC259" s="110"/>
      <c r="AD259" s="110"/>
      <c r="AE259" s="110">
        <f t="shared" si="31"/>
        <v>123</v>
      </c>
      <c r="AF259" s="198">
        <v>1.25</v>
      </c>
      <c r="AG259" s="198">
        <v>2.15</v>
      </c>
      <c r="AH259" s="199">
        <v>249</v>
      </c>
      <c r="AI259" s="199">
        <v>243</v>
      </c>
      <c r="AJ259" s="196" t="s">
        <v>92</v>
      </c>
      <c r="AK259" s="196">
        <v>2003</v>
      </c>
      <c r="AL259" s="196">
        <v>2016</v>
      </c>
      <c r="AM259" s="200">
        <v>38975</v>
      </c>
      <c r="AN259" s="200"/>
      <c r="AO259" s="107"/>
      <c r="AP259" s="107">
        <v>40870</v>
      </c>
      <c r="AQ259" s="107">
        <v>43173</v>
      </c>
      <c r="AR259" s="107">
        <v>39925</v>
      </c>
      <c r="AS259" s="107">
        <v>38030</v>
      </c>
      <c r="AT259" s="107"/>
      <c r="AU259" s="218"/>
      <c r="AV259" s="218" t="s">
        <v>70</v>
      </c>
      <c r="AW259" s="204" t="s">
        <v>70</v>
      </c>
      <c r="AX259" s="107"/>
      <c r="AY259" s="107">
        <v>41017</v>
      </c>
      <c r="AZ259" s="107">
        <v>41744</v>
      </c>
      <c r="BA259" s="107">
        <v>42730</v>
      </c>
      <c r="BB259" s="107">
        <v>43084</v>
      </c>
      <c r="BC259" s="107">
        <v>43089</v>
      </c>
      <c r="BD259" s="107">
        <v>43994</v>
      </c>
      <c r="BE259" s="107">
        <v>44251</v>
      </c>
      <c r="BF259" s="107">
        <v>44425</v>
      </c>
      <c r="BG259" s="321">
        <v>44773</v>
      </c>
      <c r="BH259" s="285" t="s">
        <v>1548</v>
      </c>
    </row>
    <row r="260" spans="1:60" s="61" customFormat="1" ht="20.100000000000001" customHeight="1">
      <c r="A260" s="195">
        <v>255</v>
      </c>
      <c r="B260" s="196" t="s">
        <v>463</v>
      </c>
      <c r="C260" s="65" t="s">
        <v>69</v>
      </c>
      <c r="D260" s="65" t="s">
        <v>73</v>
      </c>
      <c r="E260" s="65" t="s">
        <v>620</v>
      </c>
      <c r="F260" s="65" t="s">
        <v>621</v>
      </c>
      <c r="G260" s="110">
        <v>57625.9</v>
      </c>
      <c r="H260" s="196" t="s">
        <v>622</v>
      </c>
      <c r="I260" s="110">
        <v>48</v>
      </c>
      <c r="J260" s="110">
        <f t="shared" si="35"/>
        <v>792</v>
      </c>
      <c r="K260" s="110">
        <v>66</v>
      </c>
      <c r="L260" s="110">
        <v>514</v>
      </c>
      <c r="M260" s="110">
        <v>212</v>
      </c>
      <c r="N260" s="110"/>
      <c r="O260" s="110"/>
      <c r="P260" s="197">
        <f t="shared" si="36"/>
        <v>1244</v>
      </c>
      <c r="Q260" s="197">
        <v>773</v>
      </c>
      <c r="R260" s="197">
        <v>471</v>
      </c>
      <c r="S260" s="197"/>
      <c r="T260" s="197">
        <f t="shared" si="34"/>
        <v>1244</v>
      </c>
      <c r="U260" s="110">
        <f t="shared" si="33"/>
        <v>1244</v>
      </c>
      <c r="V260" s="110"/>
      <c r="W260" s="110">
        <v>976</v>
      </c>
      <c r="X260" s="110">
        <v>268</v>
      </c>
      <c r="Y260" s="110"/>
      <c r="Z260" s="110"/>
      <c r="AA260" s="110"/>
      <c r="AB260" s="110"/>
      <c r="AC260" s="110"/>
      <c r="AD260" s="110"/>
      <c r="AE260" s="110">
        <f t="shared" si="31"/>
        <v>452</v>
      </c>
      <c r="AF260" s="198">
        <v>1.1100000000000001</v>
      </c>
      <c r="AG260" s="198">
        <v>2.5</v>
      </c>
      <c r="AH260" s="199">
        <v>912</v>
      </c>
      <c r="AI260" s="199">
        <v>805</v>
      </c>
      <c r="AJ260" s="196" t="s">
        <v>92</v>
      </c>
      <c r="AK260" s="196">
        <v>2003</v>
      </c>
      <c r="AL260" s="196">
        <v>2016</v>
      </c>
      <c r="AM260" s="200">
        <v>38975</v>
      </c>
      <c r="AN260" s="200"/>
      <c r="AO260" s="107"/>
      <c r="AP260" s="107">
        <v>40630</v>
      </c>
      <c r="AQ260" s="107">
        <v>42445</v>
      </c>
      <c r="AR260" s="107">
        <v>38945</v>
      </c>
      <c r="AS260" s="107">
        <v>38625</v>
      </c>
      <c r="AT260" s="107"/>
      <c r="AU260" s="218">
        <v>38784</v>
      </c>
      <c r="AV260" s="218" t="s">
        <v>70</v>
      </c>
      <c r="AW260" s="204" t="s">
        <v>70</v>
      </c>
      <c r="AX260" s="107"/>
      <c r="AY260" s="107">
        <v>41019</v>
      </c>
      <c r="AZ260" s="107">
        <v>41827</v>
      </c>
      <c r="BA260" s="107">
        <v>42272</v>
      </c>
      <c r="BB260" s="107">
        <v>42635</v>
      </c>
      <c r="BC260" s="107">
        <v>42663</v>
      </c>
      <c r="BD260" s="107">
        <v>43636</v>
      </c>
      <c r="BE260" s="107">
        <v>43901</v>
      </c>
      <c r="BF260" s="107">
        <v>44540</v>
      </c>
      <c r="BG260" s="321">
        <v>45838</v>
      </c>
      <c r="BH260" s="285" t="s">
        <v>1549</v>
      </c>
    </row>
    <row r="261" spans="1:60" s="61" customFormat="1" ht="20.100000000000001" customHeight="1">
      <c r="A261" s="195">
        <v>256</v>
      </c>
      <c r="B261" s="196" t="s">
        <v>463</v>
      </c>
      <c r="C261" s="65" t="s">
        <v>69</v>
      </c>
      <c r="D261" s="65" t="s">
        <v>73</v>
      </c>
      <c r="E261" s="65" t="s">
        <v>623</v>
      </c>
      <c r="F261" s="65" t="s">
        <v>624</v>
      </c>
      <c r="G261" s="110">
        <v>56229.4</v>
      </c>
      <c r="H261" s="196">
        <v>1985</v>
      </c>
      <c r="I261" s="110">
        <v>23</v>
      </c>
      <c r="J261" s="110">
        <f t="shared" si="35"/>
        <v>700</v>
      </c>
      <c r="K261" s="110"/>
      <c r="L261" s="110">
        <v>700</v>
      </c>
      <c r="M261" s="110"/>
      <c r="N261" s="110"/>
      <c r="O261" s="110"/>
      <c r="P261" s="197">
        <f t="shared" si="36"/>
        <v>1129</v>
      </c>
      <c r="Q261" s="197">
        <v>709</v>
      </c>
      <c r="R261" s="197">
        <v>420</v>
      </c>
      <c r="S261" s="197"/>
      <c r="T261" s="197">
        <f t="shared" si="34"/>
        <v>1129</v>
      </c>
      <c r="U261" s="110">
        <f t="shared" si="33"/>
        <v>1129</v>
      </c>
      <c r="V261" s="110"/>
      <c r="W261" s="110">
        <v>123</v>
      </c>
      <c r="X261" s="110">
        <v>973</v>
      </c>
      <c r="Y261" s="110">
        <v>33</v>
      </c>
      <c r="Z261" s="110"/>
      <c r="AA261" s="110"/>
      <c r="AB261" s="110"/>
      <c r="AC261" s="110"/>
      <c r="AD261" s="110"/>
      <c r="AE261" s="110">
        <f t="shared" si="31"/>
        <v>429</v>
      </c>
      <c r="AF261" s="198">
        <v>0.81</v>
      </c>
      <c r="AG261" s="198">
        <v>2.59</v>
      </c>
      <c r="AH261" s="199">
        <v>710</v>
      </c>
      <c r="AI261" s="199">
        <v>693</v>
      </c>
      <c r="AJ261" s="196" t="s">
        <v>92</v>
      </c>
      <c r="AK261" s="196">
        <v>2003</v>
      </c>
      <c r="AL261" s="196">
        <v>2015</v>
      </c>
      <c r="AM261" s="200">
        <v>38975</v>
      </c>
      <c r="AN261" s="200"/>
      <c r="AO261" s="107"/>
      <c r="AP261" s="107">
        <v>39855</v>
      </c>
      <c r="AQ261" s="107">
        <v>41563</v>
      </c>
      <c r="AR261" s="107">
        <v>37973</v>
      </c>
      <c r="AS261" s="107">
        <v>38113</v>
      </c>
      <c r="AT261" s="107"/>
      <c r="AU261" s="218">
        <v>38498</v>
      </c>
      <c r="AV261" s="218" t="s">
        <v>70</v>
      </c>
      <c r="AW261" s="204" t="s">
        <v>70</v>
      </c>
      <c r="AX261" s="107"/>
      <c r="AY261" s="107">
        <v>39961</v>
      </c>
      <c r="AZ261" s="107">
        <v>41607</v>
      </c>
      <c r="BA261" s="107">
        <v>42094</v>
      </c>
      <c r="BB261" s="107">
        <v>42305</v>
      </c>
      <c r="BC261" s="107">
        <v>42306</v>
      </c>
      <c r="BD261" s="107">
        <v>43364</v>
      </c>
      <c r="BE261" s="107">
        <v>43915</v>
      </c>
      <c r="BF261" s="107">
        <v>44061</v>
      </c>
      <c r="BG261" s="321">
        <v>45267</v>
      </c>
      <c r="BH261" s="285" t="s">
        <v>1548</v>
      </c>
    </row>
    <row r="262" spans="1:60" s="61" customFormat="1" ht="20.100000000000001" customHeight="1">
      <c r="A262" s="195">
        <v>257</v>
      </c>
      <c r="B262" s="196" t="s">
        <v>463</v>
      </c>
      <c r="C262" s="65" t="s">
        <v>69</v>
      </c>
      <c r="D262" s="65" t="s">
        <v>73</v>
      </c>
      <c r="E262" s="65" t="s">
        <v>625</v>
      </c>
      <c r="F262" s="65" t="s">
        <v>626</v>
      </c>
      <c r="G262" s="110">
        <v>50719</v>
      </c>
      <c r="H262" s="196">
        <v>1983</v>
      </c>
      <c r="I262" s="110">
        <v>25</v>
      </c>
      <c r="J262" s="110">
        <f t="shared" si="35"/>
        <v>500</v>
      </c>
      <c r="K262" s="110"/>
      <c r="L262" s="110"/>
      <c r="M262" s="110">
        <v>500</v>
      </c>
      <c r="N262" s="110"/>
      <c r="O262" s="110"/>
      <c r="P262" s="197">
        <f t="shared" si="36"/>
        <v>1152</v>
      </c>
      <c r="Q262" s="197">
        <v>506</v>
      </c>
      <c r="R262" s="197">
        <v>646</v>
      </c>
      <c r="S262" s="197"/>
      <c r="T262" s="197">
        <f t="shared" si="34"/>
        <v>1152</v>
      </c>
      <c r="U262" s="110">
        <f t="shared" si="33"/>
        <v>1152</v>
      </c>
      <c r="V262" s="110"/>
      <c r="W262" s="110">
        <v>545</v>
      </c>
      <c r="X262" s="110">
        <v>573</v>
      </c>
      <c r="Y262" s="110">
        <v>34</v>
      </c>
      <c r="Z262" s="110"/>
      <c r="AA262" s="110"/>
      <c r="AB262" s="110"/>
      <c r="AC262" s="110"/>
      <c r="AD262" s="110"/>
      <c r="AE262" s="110">
        <f t="shared" si="31"/>
        <v>652</v>
      </c>
      <c r="AF262" s="198">
        <v>0.86</v>
      </c>
      <c r="AG262" s="198">
        <v>2.67</v>
      </c>
      <c r="AH262" s="199">
        <v>510</v>
      </c>
      <c r="AI262" s="199">
        <v>503</v>
      </c>
      <c r="AJ262" s="196" t="s">
        <v>92</v>
      </c>
      <c r="AK262" s="196">
        <v>2002</v>
      </c>
      <c r="AL262" s="196">
        <v>2017</v>
      </c>
      <c r="AM262" s="200">
        <v>38975</v>
      </c>
      <c r="AN262" s="200"/>
      <c r="AO262" s="107"/>
      <c r="AP262" s="107">
        <v>39475</v>
      </c>
      <c r="AQ262" s="107">
        <v>41997</v>
      </c>
      <c r="AR262" s="107">
        <v>37986</v>
      </c>
      <c r="AS262" s="107"/>
      <c r="AT262" s="107"/>
      <c r="AU262" s="218">
        <v>37972</v>
      </c>
      <c r="AV262" s="218" t="s">
        <v>70</v>
      </c>
      <c r="AW262" s="204" t="s">
        <v>70</v>
      </c>
      <c r="AX262" s="107"/>
      <c r="AY262" s="107">
        <v>40882</v>
      </c>
      <c r="AZ262" s="107">
        <v>41533</v>
      </c>
      <c r="BA262" s="107">
        <v>41920</v>
      </c>
      <c r="BB262" s="107">
        <v>42335</v>
      </c>
      <c r="BC262" s="107">
        <v>42340</v>
      </c>
      <c r="BD262" s="107">
        <v>43418</v>
      </c>
      <c r="BE262" s="107">
        <v>43509</v>
      </c>
      <c r="BF262" s="107">
        <v>44417</v>
      </c>
      <c r="BG262" s="321">
        <v>44474</v>
      </c>
      <c r="BH262" s="285" t="s">
        <v>1548</v>
      </c>
    </row>
    <row r="263" spans="1:60" s="61" customFormat="1" ht="20.100000000000001" customHeight="1">
      <c r="A263" s="195">
        <v>258</v>
      </c>
      <c r="B263" s="196" t="s">
        <v>463</v>
      </c>
      <c r="C263" s="65" t="s">
        <v>69</v>
      </c>
      <c r="D263" s="65" t="s">
        <v>73</v>
      </c>
      <c r="E263" s="65" t="s">
        <v>627</v>
      </c>
      <c r="F263" s="65" t="s">
        <v>628</v>
      </c>
      <c r="G263" s="110">
        <v>22924</v>
      </c>
      <c r="H263" s="196">
        <v>1983</v>
      </c>
      <c r="I263" s="110">
        <v>11</v>
      </c>
      <c r="J263" s="110">
        <f t="shared" si="35"/>
        <v>400</v>
      </c>
      <c r="K263" s="110">
        <v>200</v>
      </c>
      <c r="L263" s="110">
        <v>200</v>
      </c>
      <c r="M263" s="110"/>
      <c r="N263" s="110"/>
      <c r="O263" s="110"/>
      <c r="P263" s="197">
        <f t="shared" si="36"/>
        <v>469</v>
      </c>
      <c r="Q263" s="197">
        <v>394</v>
      </c>
      <c r="R263" s="197">
        <v>75</v>
      </c>
      <c r="S263" s="197"/>
      <c r="T263" s="197">
        <f t="shared" si="34"/>
        <v>469</v>
      </c>
      <c r="U263" s="110">
        <f t="shared" si="33"/>
        <v>469</v>
      </c>
      <c r="V263" s="110"/>
      <c r="W263" s="110">
        <v>62</v>
      </c>
      <c r="X263" s="110">
        <v>403</v>
      </c>
      <c r="Y263" s="110">
        <v>4</v>
      </c>
      <c r="Z263" s="110"/>
      <c r="AA263" s="110"/>
      <c r="AB263" s="110"/>
      <c r="AC263" s="110"/>
      <c r="AD263" s="110"/>
      <c r="AE263" s="110">
        <f t="shared" si="31"/>
        <v>69</v>
      </c>
      <c r="AF263" s="198">
        <v>0.88</v>
      </c>
      <c r="AG263" s="198">
        <v>2.4</v>
      </c>
      <c r="AH263" s="199">
        <v>386</v>
      </c>
      <c r="AI263" s="199">
        <v>386</v>
      </c>
      <c r="AJ263" s="196" t="s">
        <v>92</v>
      </c>
      <c r="AK263" s="196">
        <v>2003</v>
      </c>
      <c r="AL263" s="196">
        <v>2015</v>
      </c>
      <c r="AM263" s="200">
        <v>38975</v>
      </c>
      <c r="AN263" s="200"/>
      <c r="AO263" s="107"/>
      <c r="AP263" s="107">
        <v>40084</v>
      </c>
      <c r="AQ263" s="107">
        <v>40777</v>
      </c>
      <c r="AR263" s="107">
        <v>37970</v>
      </c>
      <c r="AS263" s="107">
        <v>38118</v>
      </c>
      <c r="AT263" s="107"/>
      <c r="AU263" s="218">
        <v>38474</v>
      </c>
      <c r="AV263" s="218" t="s">
        <v>70</v>
      </c>
      <c r="AW263" s="204" t="s">
        <v>70</v>
      </c>
      <c r="AX263" s="107"/>
      <c r="AY263" s="107">
        <v>40325</v>
      </c>
      <c r="AZ263" s="107">
        <v>40778</v>
      </c>
      <c r="BA263" s="107">
        <v>41067</v>
      </c>
      <c r="BB263" s="107">
        <v>42305</v>
      </c>
      <c r="BC263" s="107">
        <v>42307</v>
      </c>
      <c r="BD263" s="107">
        <v>43250</v>
      </c>
      <c r="BE263" s="107">
        <v>43453</v>
      </c>
      <c r="BF263" s="107">
        <v>43627</v>
      </c>
      <c r="BG263" s="321">
        <v>45828</v>
      </c>
      <c r="BH263" s="285" t="s">
        <v>1549</v>
      </c>
    </row>
    <row r="264" spans="1:60" s="61" customFormat="1" ht="18.75" customHeight="1">
      <c r="A264" s="195">
        <v>259</v>
      </c>
      <c r="B264" s="196" t="s">
        <v>629</v>
      </c>
      <c r="C264" s="65" t="s">
        <v>72</v>
      </c>
      <c r="D264" s="65" t="s">
        <v>85</v>
      </c>
      <c r="E264" s="65" t="s">
        <v>636</v>
      </c>
      <c r="F264" s="65" t="s">
        <v>637</v>
      </c>
      <c r="G264" s="110">
        <v>35427.699999999997</v>
      </c>
      <c r="H264" s="196"/>
      <c r="I264" s="110"/>
      <c r="J264" s="222"/>
      <c r="K264" s="110"/>
      <c r="L264" s="110"/>
      <c r="M264" s="110"/>
      <c r="N264" s="110"/>
      <c r="O264" s="110"/>
      <c r="P264" s="197"/>
      <c r="Q264" s="197"/>
      <c r="R264" s="197"/>
      <c r="S264" s="197"/>
      <c r="T264" s="197"/>
      <c r="U264" s="110"/>
      <c r="V264" s="110"/>
      <c r="W264" s="110"/>
      <c r="X264" s="110"/>
      <c r="Y264" s="110"/>
      <c r="Z264" s="110"/>
      <c r="AA264" s="110"/>
      <c r="AB264" s="110"/>
      <c r="AC264" s="110"/>
      <c r="AD264" s="110"/>
      <c r="AE264" s="110">
        <f t="shared" ref="AE264:AE271" si="37">T264-J264</f>
        <v>0</v>
      </c>
      <c r="AF264" s="198"/>
      <c r="AG264" s="198"/>
      <c r="AH264" s="199"/>
      <c r="AI264" s="199"/>
      <c r="AJ264" s="196"/>
      <c r="AK264" s="196"/>
      <c r="AL264" s="196"/>
      <c r="AM264" s="202">
        <v>46020</v>
      </c>
      <c r="AN264" s="200"/>
      <c r="AO264" s="107"/>
      <c r="AP264" s="107"/>
      <c r="AQ264" s="107"/>
      <c r="AR264" s="107"/>
      <c r="AS264" s="107"/>
      <c r="AT264" s="107"/>
      <c r="AU264" s="218"/>
      <c r="AV264" s="218"/>
      <c r="AW264" s="196"/>
      <c r="AX264" s="107"/>
      <c r="AY264" s="107"/>
      <c r="AZ264" s="107"/>
      <c r="BA264" s="107"/>
      <c r="BB264" s="107"/>
      <c r="BC264" s="107"/>
      <c r="BD264" s="107"/>
      <c r="BE264" s="107"/>
      <c r="BF264" s="107"/>
      <c r="BG264" s="321"/>
      <c r="BH264" s="285" t="s">
        <v>1550</v>
      </c>
    </row>
    <row r="265" spans="1:60" s="61" customFormat="1" ht="18.75" customHeight="1">
      <c r="A265" s="195">
        <v>260</v>
      </c>
      <c r="B265" s="196" t="s">
        <v>629</v>
      </c>
      <c r="C265" s="65" t="s">
        <v>72</v>
      </c>
      <c r="D265" s="65" t="s">
        <v>85</v>
      </c>
      <c r="E265" s="65" t="s">
        <v>638</v>
      </c>
      <c r="F265" s="65" t="s">
        <v>639</v>
      </c>
      <c r="G265" s="110">
        <v>51256.3</v>
      </c>
      <c r="H265" s="196"/>
      <c r="I265" s="110"/>
      <c r="J265" s="222"/>
      <c r="K265" s="110"/>
      <c r="L265" s="110"/>
      <c r="M265" s="110"/>
      <c r="N265" s="110"/>
      <c r="O265" s="110"/>
      <c r="P265" s="197"/>
      <c r="Q265" s="197"/>
      <c r="R265" s="197"/>
      <c r="S265" s="197"/>
      <c r="T265" s="197"/>
      <c r="U265" s="110"/>
      <c r="V265" s="110"/>
      <c r="W265" s="110"/>
      <c r="X265" s="110"/>
      <c r="Y265" s="110"/>
      <c r="Z265" s="110"/>
      <c r="AA265" s="110"/>
      <c r="AB265" s="110"/>
      <c r="AC265" s="110"/>
      <c r="AD265" s="110"/>
      <c r="AE265" s="110">
        <f t="shared" si="37"/>
        <v>0</v>
      </c>
      <c r="AF265" s="198"/>
      <c r="AG265" s="198"/>
      <c r="AH265" s="199"/>
      <c r="AI265" s="199"/>
      <c r="AJ265" s="196"/>
      <c r="AK265" s="196"/>
      <c r="AL265" s="196"/>
      <c r="AM265" s="202">
        <v>46020</v>
      </c>
      <c r="AN265" s="200"/>
      <c r="AO265" s="107"/>
      <c r="AP265" s="107"/>
      <c r="AQ265" s="107"/>
      <c r="AR265" s="107"/>
      <c r="AS265" s="107"/>
      <c r="AT265" s="107"/>
      <c r="AU265" s="218"/>
      <c r="AV265" s="218"/>
      <c r="AW265" s="196"/>
      <c r="AX265" s="107"/>
      <c r="AY265" s="107"/>
      <c r="AZ265" s="107"/>
      <c r="BA265" s="107"/>
      <c r="BB265" s="107"/>
      <c r="BC265" s="107"/>
      <c r="BD265" s="107"/>
      <c r="BE265" s="107"/>
      <c r="BF265" s="107"/>
      <c r="BG265" s="321"/>
      <c r="BH265" s="285" t="s">
        <v>1550</v>
      </c>
    </row>
    <row r="266" spans="1:60" s="61" customFormat="1" ht="18.75" customHeight="1">
      <c r="A266" s="195">
        <v>261</v>
      </c>
      <c r="B266" s="196" t="s">
        <v>629</v>
      </c>
      <c r="C266" s="65" t="s">
        <v>72</v>
      </c>
      <c r="D266" s="65" t="s">
        <v>73</v>
      </c>
      <c r="E266" s="65" t="s">
        <v>640</v>
      </c>
      <c r="F266" s="65" t="s">
        <v>641</v>
      </c>
      <c r="G266" s="110">
        <v>15878</v>
      </c>
      <c r="H266" s="196">
        <v>1985</v>
      </c>
      <c r="I266" s="110">
        <v>9</v>
      </c>
      <c r="J266" s="222">
        <v>471</v>
      </c>
      <c r="K266" s="110"/>
      <c r="L266" s="110"/>
      <c r="M266" s="110"/>
      <c r="N266" s="110"/>
      <c r="O266" s="110"/>
      <c r="P266" s="197"/>
      <c r="Q266" s="197"/>
      <c r="R266" s="197"/>
      <c r="S266" s="197"/>
      <c r="T266" s="197"/>
      <c r="U266" s="110"/>
      <c r="V266" s="110"/>
      <c r="W266" s="110"/>
      <c r="X266" s="110"/>
      <c r="Y266" s="110"/>
      <c r="Z266" s="110"/>
      <c r="AA266" s="110"/>
      <c r="AB266" s="110"/>
      <c r="AC266" s="110"/>
      <c r="AD266" s="110"/>
      <c r="AE266" s="110">
        <f t="shared" si="37"/>
        <v>-471</v>
      </c>
      <c r="AF266" s="198">
        <v>2.2770000000000001</v>
      </c>
      <c r="AG266" s="198"/>
      <c r="AH266" s="199"/>
      <c r="AI266" s="199"/>
      <c r="AJ266" s="196"/>
      <c r="AK266" s="196"/>
      <c r="AL266" s="196"/>
      <c r="AM266" s="202">
        <v>45807</v>
      </c>
      <c r="AN266" s="200"/>
      <c r="AO266" s="107"/>
      <c r="AP266" s="107"/>
      <c r="AQ266" s="107"/>
      <c r="AR266" s="107"/>
      <c r="AS266" s="107"/>
      <c r="AT266" s="107"/>
      <c r="AU266" s="218"/>
      <c r="AV266" s="218"/>
      <c r="AW266" s="196"/>
      <c r="AX266" s="107"/>
      <c r="AY266" s="107"/>
      <c r="AZ266" s="107"/>
      <c r="BA266" s="107"/>
      <c r="BB266" s="107"/>
      <c r="BC266" s="107"/>
      <c r="BD266" s="107"/>
      <c r="BE266" s="107"/>
      <c r="BF266" s="107"/>
      <c r="BG266" s="321"/>
      <c r="BH266" s="285" t="s">
        <v>1551</v>
      </c>
    </row>
    <row r="267" spans="1:60" s="77" customFormat="1" ht="18.75" customHeight="1">
      <c r="A267" s="195">
        <v>262</v>
      </c>
      <c r="B267" s="196" t="s">
        <v>629</v>
      </c>
      <c r="C267" s="65" t="s">
        <v>72</v>
      </c>
      <c r="D267" s="65" t="s">
        <v>73</v>
      </c>
      <c r="E267" s="65" t="s">
        <v>642</v>
      </c>
      <c r="F267" s="65" t="s">
        <v>643</v>
      </c>
      <c r="G267" s="110">
        <v>14021</v>
      </c>
      <c r="H267" s="196">
        <v>1991</v>
      </c>
      <c r="I267" s="110">
        <v>4</v>
      </c>
      <c r="J267" s="222">
        <v>320</v>
      </c>
      <c r="K267" s="110"/>
      <c r="L267" s="110"/>
      <c r="M267" s="110"/>
      <c r="N267" s="110"/>
      <c r="O267" s="110"/>
      <c r="P267" s="197"/>
      <c r="Q267" s="197"/>
      <c r="R267" s="197"/>
      <c r="S267" s="197"/>
      <c r="T267" s="197"/>
      <c r="U267" s="110"/>
      <c r="V267" s="110"/>
      <c r="W267" s="110"/>
      <c r="X267" s="110"/>
      <c r="Y267" s="110"/>
      <c r="Z267" s="110"/>
      <c r="AA267" s="110"/>
      <c r="AB267" s="110"/>
      <c r="AC267" s="110"/>
      <c r="AD267" s="110"/>
      <c r="AE267" s="110">
        <f t="shared" si="37"/>
        <v>-320</v>
      </c>
      <c r="AF267" s="198">
        <v>2.3119999999999998</v>
      </c>
      <c r="AG267" s="198"/>
      <c r="AH267" s="199"/>
      <c r="AI267" s="199"/>
      <c r="AJ267" s="196"/>
      <c r="AK267" s="196"/>
      <c r="AL267" s="196"/>
      <c r="AM267" s="202">
        <v>45807</v>
      </c>
      <c r="AN267" s="200"/>
      <c r="AO267" s="107"/>
      <c r="AP267" s="107"/>
      <c r="AQ267" s="107"/>
      <c r="AR267" s="107"/>
      <c r="AS267" s="107"/>
      <c r="AT267" s="107"/>
      <c r="AU267" s="218"/>
      <c r="AV267" s="218"/>
      <c r="AW267" s="196"/>
      <c r="AX267" s="107"/>
      <c r="AY267" s="107"/>
      <c r="AZ267" s="107"/>
      <c r="BA267" s="107"/>
      <c r="BB267" s="107"/>
      <c r="BC267" s="107"/>
      <c r="BD267" s="107"/>
      <c r="BE267" s="107"/>
      <c r="BF267" s="107"/>
      <c r="BG267" s="321"/>
      <c r="BH267" s="285" t="s">
        <v>1551</v>
      </c>
    </row>
    <row r="268" spans="1:60" s="61" customFormat="1" ht="18.75" customHeight="1">
      <c r="A268" s="195">
        <v>263</v>
      </c>
      <c r="B268" s="196" t="s">
        <v>629</v>
      </c>
      <c r="C268" s="65" t="s">
        <v>72</v>
      </c>
      <c r="D268" s="65" t="s">
        <v>73</v>
      </c>
      <c r="E268" s="65" t="s">
        <v>644</v>
      </c>
      <c r="F268" s="219" t="s">
        <v>645</v>
      </c>
      <c r="G268" s="110">
        <v>17236</v>
      </c>
      <c r="H268" s="196">
        <v>1984</v>
      </c>
      <c r="I268" s="110">
        <v>9</v>
      </c>
      <c r="J268" s="222">
        <v>296</v>
      </c>
      <c r="K268" s="110"/>
      <c r="L268" s="110"/>
      <c r="M268" s="110"/>
      <c r="N268" s="110"/>
      <c r="O268" s="110"/>
      <c r="P268" s="197"/>
      <c r="Q268" s="197"/>
      <c r="R268" s="197"/>
      <c r="S268" s="197"/>
      <c r="T268" s="197"/>
      <c r="U268" s="110"/>
      <c r="V268" s="110"/>
      <c r="W268" s="110"/>
      <c r="X268" s="110"/>
      <c r="Y268" s="110"/>
      <c r="Z268" s="110"/>
      <c r="AA268" s="110"/>
      <c r="AB268" s="110"/>
      <c r="AC268" s="110"/>
      <c r="AD268" s="110"/>
      <c r="AE268" s="110">
        <f t="shared" si="37"/>
        <v>-296</v>
      </c>
      <c r="AF268" s="198">
        <v>1.1619999999999999</v>
      </c>
      <c r="AG268" s="198"/>
      <c r="AH268" s="199"/>
      <c r="AI268" s="199"/>
      <c r="AJ268" s="196"/>
      <c r="AK268" s="196"/>
      <c r="AL268" s="196"/>
      <c r="AM268" s="202">
        <v>45807</v>
      </c>
      <c r="AN268" s="200"/>
      <c r="AO268" s="107"/>
      <c r="AP268" s="107"/>
      <c r="AQ268" s="107"/>
      <c r="AR268" s="107"/>
      <c r="AS268" s="107"/>
      <c r="AT268" s="107"/>
      <c r="AU268" s="218"/>
      <c r="AV268" s="218"/>
      <c r="AW268" s="196"/>
      <c r="AX268" s="107"/>
      <c r="AY268" s="107"/>
      <c r="AZ268" s="107"/>
      <c r="BA268" s="107"/>
      <c r="BB268" s="107"/>
      <c r="BC268" s="107"/>
      <c r="BD268" s="107"/>
      <c r="BE268" s="107"/>
      <c r="BF268" s="107"/>
      <c r="BG268" s="321"/>
      <c r="BH268" s="285" t="s">
        <v>1551</v>
      </c>
    </row>
    <row r="269" spans="1:60" s="61" customFormat="1" ht="18.75" customHeight="1">
      <c r="A269" s="195">
        <v>264</v>
      </c>
      <c r="B269" s="196" t="s">
        <v>629</v>
      </c>
      <c r="C269" s="65" t="s">
        <v>72</v>
      </c>
      <c r="D269" s="65" t="s">
        <v>73</v>
      </c>
      <c r="E269" s="65" t="s">
        <v>646</v>
      </c>
      <c r="F269" s="65" t="s">
        <v>647</v>
      </c>
      <c r="G269" s="110">
        <v>10480</v>
      </c>
      <c r="H269" s="196">
        <v>1999</v>
      </c>
      <c r="I269" s="110">
        <v>5</v>
      </c>
      <c r="J269" s="222">
        <v>245</v>
      </c>
      <c r="K269" s="110"/>
      <c r="L269" s="110"/>
      <c r="M269" s="110"/>
      <c r="N269" s="110"/>
      <c r="O269" s="110"/>
      <c r="P269" s="197"/>
      <c r="Q269" s="197"/>
      <c r="R269" s="197"/>
      <c r="S269" s="197"/>
      <c r="T269" s="197"/>
      <c r="U269" s="110"/>
      <c r="V269" s="110"/>
      <c r="W269" s="110"/>
      <c r="X269" s="110"/>
      <c r="Y269" s="110"/>
      <c r="Z269" s="110"/>
      <c r="AA269" s="110"/>
      <c r="AB269" s="110"/>
      <c r="AC269" s="110"/>
      <c r="AD269" s="110"/>
      <c r="AE269" s="110">
        <f t="shared" si="37"/>
        <v>-245</v>
      </c>
      <c r="AF269" s="198">
        <v>1.9830000000000001</v>
      </c>
      <c r="AG269" s="198"/>
      <c r="AH269" s="199"/>
      <c r="AI269" s="199"/>
      <c r="AJ269" s="196"/>
      <c r="AK269" s="196"/>
      <c r="AL269" s="196"/>
      <c r="AM269" s="202">
        <v>45807</v>
      </c>
      <c r="AN269" s="200"/>
      <c r="AO269" s="107"/>
      <c r="AP269" s="107"/>
      <c r="AQ269" s="107"/>
      <c r="AR269" s="107"/>
      <c r="AS269" s="107"/>
      <c r="AT269" s="107"/>
      <c r="AU269" s="218"/>
      <c r="AV269" s="218"/>
      <c r="AW269" s="196"/>
      <c r="AX269" s="107"/>
      <c r="AY269" s="107"/>
      <c r="AZ269" s="107"/>
      <c r="BA269" s="107"/>
      <c r="BB269" s="107"/>
      <c r="BC269" s="107"/>
      <c r="BD269" s="107"/>
      <c r="BE269" s="107"/>
      <c r="BF269" s="107"/>
      <c r="BG269" s="321"/>
      <c r="BH269" s="285" t="s">
        <v>1551</v>
      </c>
    </row>
    <row r="270" spans="1:60" s="61" customFormat="1" ht="18.75" customHeight="1">
      <c r="A270" s="195">
        <v>265</v>
      </c>
      <c r="B270" s="196" t="s">
        <v>629</v>
      </c>
      <c r="C270" s="65" t="s">
        <v>72</v>
      </c>
      <c r="D270" s="65" t="s">
        <v>85</v>
      </c>
      <c r="E270" s="65" t="s">
        <v>672</v>
      </c>
      <c r="F270" s="65" t="s">
        <v>673</v>
      </c>
      <c r="G270" s="110">
        <v>34947</v>
      </c>
      <c r="H270" s="196"/>
      <c r="I270" s="110"/>
      <c r="J270" s="222"/>
      <c r="K270" s="110"/>
      <c r="L270" s="110"/>
      <c r="M270" s="110"/>
      <c r="N270" s="110"/>
      <c r="O270" s="110"/>
      <c r="P270" s="197"/>
      <c r="Q270" s="197"/>
      <c r="R270" s="197"/>
      <c r="S270" s="197"/>
      <c r="T270" s="197"/>
      <c r="U270" s="110"/>
      <c r="V270" s="110"/>
      <c r="W270" s="110"/>
      <c r="X270" s="110"/>
      <c r="Y270" s="110"/>
      <c r="Z270" s="110"/>
      <c r="AA270" s="110"/>
      <c r="AB270" s="110"/>
      <c r="AC270" s="110"/>
      <c r="AD270" s="110"/>
      <c r="AE270" s="110">
        <f t="shared" si="37"/>
        <v>0</v>
      </c>
      <c r="AF270" s="198"/>
      <c r="AG270" s="198"/>
      <c r="AH270" s="199"/>
      <c r="AI270" s="199"/>
      <c r="AJ270" s="196"/>
      <c r="AK270" s="196"/>
      <c r="AL270" s="196"/>
      <c r="AM270" s="202">
        <v>45807</v>
      </c>
      <c r="AN270" s="200"/>
      <c r="AO270" s="107"/>
      <c r="AP270" s="107"/>
      <c r="AQ270" s="107"/>
      <c r="AR270" s="107"/>
      <c r="AS270" s="107"/>
      <c r="AT270" s="107"/>
      <c r="AU270" s="218"/>
      <c r="AV270" s="218"/>
      <c r="AW270" s="196"/>
      <c r="AX270" s="107"/>
      <c r="AY270" s="107"/>
      <c r="AZ270" s="107"/>
      <c r="BA270" s="107"/>
      <c r="BB270" s="107"/>
      <c r="BC270" s="107"/>
      <c r="BD270" s="107"/>
      <c r="BE270" s="107"/>
      <c r="BF270" s="107"/>
      <c r="BG270" s="321"/>
      <c r="BH270" s="285" t="s">
        <v>1552</v>
      </c>
    </row>
    <row r="271" spans="1:60" s="61" customFormat="1" ht="20.100000000000001" customHeight="1">
      <c r="A271" s="195">
        <v>266</v>
      </c>
      <c r="B271" s="196" t="s">
        <v>629</v>
      </c>
      <c r="C271" s="65" t="s">
        <v>62</v>
      </c>
      <c r="D271" s="65" t="s">
        <v>85</v>
      </c>
      <c r="E271" s="65" t="s">
        <v>648</v>
      </c>
      <c r="F271" s="65" t="s">
        <v>649</v>
      </c>
      <c r="G271" s="110">
        <v>141470</v>
      </c>
      <c r="H271" s="196"/>
      <c r="I271" s="110">
        <v>452</v>
      </c>
      <c r="J271" s="110">
        <v>3114</v>
      </c>
      <c r="K271" s="110"/>
      <c r="L271" s="110"/>
      <c r="M271" s="110"/>
      <c r="N271" s="110"/>
      <c r="O271" s="110"/>
      <c r="P271" s="197">
        <v>3856</v>
      </c>
      <c r="Q271" s="223">
        <v>2226</v>
      </c>
      <c r="R271" s="223">
        <v>893</v>
      </c>
      <c r="S271" s="223">
        <v>737</v>
      </c>
      <c r="T271" s="197">
        <f>U271+AA271</f>
        <v>3856</v>
      </c>
      <c r="U271" s="197">
        <v>3119</v>
      </c>
      <c r="V271" s="110">
        <v>57</v>
      </c>
      <c r="W271" s="110">
        <v>971</v>
      </c>
      <c r="X271" s="110">
        <v>1923</v>
      </c>
      <c r="Y271" s="110">
        <v>168</v>
      </c>
      <c r="Z271" s="110"/>
      <c r="AA271" s="110">
        <v>737</v>
      </c>
      <c r="AB271" s="110">
        <v>325</v>
      </c>
      <c r="AC271" s="110">
        <v>268</v>
      </c>
      <c r="AD271" s="110">
        <v>144</v>
      </c>
      <c r="AE271" s="110">
        <f t="shared" si="37"/>
        <v>742</v>
      </c>
      <c r="AF271" s="224">
        <v>1.6040000000000001</v>
      </c>
      <c r="AG271" s="198">
        <v>3.6</v>
      </c>
      <c r="AH271" s="199">
        <v>2479</v>
      </c>
      <c r="AI271" s="199"/>
      <c r="AJ271" s="196" t="s">
        <v>105</v>
      </c>
      <c r="AK271" s="196">
        <v>2022</v>
      </c>
      <c r="AL271" s="196">
        <v>2030</v>
      </c>
      <c r="AM271" s="202">
        <v>43899</v>
      </c>
      <c r="AN271" s="202"/>
      <c r="AO271" s="107">
        <v>44720</v>
      </c>
      <c r="AP271" s="107">
        <v>44720</v>
      </c>
      <c r="AQ271" s="107">
        <v>46020</v>
      </c>
      <c r="AR271" s="107"/>
      <c r="AS271" s="107"/>
      <c r="AT271" s="107"/>
      <c r="AU271" s="218"/>
      <c r="AV271" s="218" t="s">
        <v>70</v>
      </c>
      <c r="AW271" s="196" t="s">
        <v>70</v>
      </c>
      <c r="AX271" s="107"/>
      <c r="AY271" s="107"/>
      <c r="AZ271" s="107"/>
      <c r="BA271" s="107"/>
      <c r="BB271" s="107"/>
      <c r="BC271" s="107"/>
      <c r="BD271" s="107"/>
      <c r="BE271" s="107"/>
      <c r="BF271" s="107"/>
      <c r="BG271" s="321"/>
      <c r="BH271" s="285" t="s">
        <v>1550</v>
      </c>
    </row>
    <row r="272" spans="1:60" s="61" customFormat="1" ht="18.75" customHeight="1">
      <c r="A272" s="195">
        <v>267</v>
      </c>
      <c r="B272" s="196" t="s">
        <v>629</v>
      </c>
      <c r="C272" s="65" t="s">
        <v>88</v>
      </c>
      <c r="D272" s="65" t="s">
        <v>85</v>
      </c>
      <c r="E272" s="65" t="s">
        <v>630</v>
      </c>
      <c r="F272" s="65" t="s">
        <v>631</v>
      </c>
      <c r="G272" s="110">
        <v>36913</v>
      </c>
      <c r="H272" s="196"/>
      <c r="I272" s="110"/>
      <c r="J272" s="110"/>
      <c r="K272" s="110"/>
      <c r="L272" s="110"/>
      <c r="M272" s="110"/>
      <c r="N272" s="110"/>
      <c r="O272" s="110"/>
      <c r="P272" s="197"/>
      <c r="Q272" s="197"/>
      <c r="R272" s="197"/>
      <c r="S272" s="197"/>
      <c r="T272" s="197"/>
      <c r="U272" s="110"/>
      <c r="V272" s="110"/>
      <c r="W272" s="110"/>
      <c r="X272" s="110"/>
      <c r="Y272" s="110"/>
      <c r="Z272" s="110"/>
      <c r="AA272" s="110"/>
      <c r="AB272" s="110"/>
      <c r="AC272" s="110"/>
      <c r="AD272" s="110"/>
      <c r="AE272" s="110">
        <f t="shared" si="31"/>
        <v>0</v>
      </c>
      <c r="AF272" s="198"/>
      <c r="AG272" s="198"/>
      <c r="AH272" s="199"/>
      <c r="AI272" s="199"/>
      <c r="AJ272" s="196"/>
      <c r="AK272" s="196"/>
      <c r="AL272" s="196"/>
      <c r="AM272" s="200">
        <v>45807</v>
      </c>
      <c r="AN272" s="200"/>
      <c r="AO272" s="107"/>
      <c r="AP272" s="107"/>
      <c r="AQ272" s="107"/>
      <c r="AR272" s="107">
        <v>45971</v>
      </c>
      <c r="AS272" s="107"/>
      <c r="AT272" s="107"/>
      <c r="AU272" s="218"/>
      <c r="AV272" s="218"/>
      <c r="AW272" s="196"/>
      <c r="AX272" s="107"/>
      <c r="AY272" s="107"/>
      <c r="AZ272" s="107"/>
      <c r="BA272" s="107"/>
      <c r="BB272" s="107"/>
      <c r="BC272" s="107"/>
      <c r="BD272" s="107"/>
      <c r="BE272" s="107"/>
      <c r="BF272" s="107"/>
      <c r="BG272" s="321"/>
      <c r="BH272" s="285" t="s">
        <v>1553</v>
      </c>
    </row>
    <row r="273" spans="1:60" s="61" customFormat="1" ht="18.75" customHeight="1">
      <c r="A273" s="195">
        <v>268</v>
      </c>
      <c r="B273" s="196" t="s">
        <v>629</v>
      </c>
      <c r="C273" s="65" t="s">
        <v>88</v>
      </c>
      <c r="D273" s="65" t="s">
        <v>85</v>
      </c>
      <c r="E273" s="65" t="s">
        <v>632</v>
      </c>
      <c r="F273" s="65" t="s">
        <v>633</v>
      </c>
      <c r="G273" s="110">
        <v>19810</v>
      </c>
      <c r="H273" s="196"/>
      <c r="I273" s="110"/>
      <c r="J273" s="110"/>
      <c r="K273" s="110"/>
      <c r="L273" s="110"/>
      <c r="M273" s="110"/>
      <c r="N273" s="110"/>
      <c r="O273" s="110"/>
      <c r="P273" s="197"/>
      <c r="Q273" s="197"/>
      <c r="R273" s="197"/>
      <c r="S273" s="197"/>
      <c r="T273" s="197"/>
      <c r="U273" s="110"/>
      <c r="V273" s="110"/>
      <c r="W273" s="110"/>
      <c r="X273" s="110"/>
      <c r="Y273" s="110"/>
      <c r="Z273" s="110"/>
      <c r="AA273" s="110"/>
      <c r="AB273" s="110"/>
      <c r="AC273" s="110"/>
      <c r="AD273" s="110"/>
      <c r="AE273" s="110">
        <f t="shared" si="31"/>
        <v>0</v>
      </c>
      <c r="AF273" s="198"/>
      <c r="AG273" s="198"/>
      <c r="AH273" s="199"/>
      <c r="AI273" s="199"/>
      <c r="AJ273" s="196"/>
      <c r="AK273" s="196"/>
      <c r="AL273" s="196"/>
      <c r="AM273" s="200">
        <v>45807</v>
      </c>
      <c r="AN273" s="200"/>
      <c r="AO273" s="107"/>
      <c r="AP273" s="107"/>
      <c r="AQ273" s="107"/>
      <c r="AR273" s="107">
        <v>46006</v>
      </c>
      <c r="AS273" s="107"/>
      <c r="AT273" s="107"/>
      <c r="AU273" s="218"/>
      <c r="AV273" s="218"/>
      <c r="AW273" s="196"/>
      <c r="AX273" s="107"/>
      <c r="AY273" s="107"/>
      <c r="AZ273" s="107"/>
      <c r="BA273" s="107"/>
      <c r="BB273" s="107"/>
      <c r="BC273" s="107"/>
      <c r="BD273" s="107"/>
      <c r="BE273" s="107"/>
      <c r="BF273" s="107"/>
      <c r="BG273" s="321"/>
      <c r="BH273" s="285" t="s">
        <v>1553</v>
      </c>
    </row>
    <row r="274" spans="1:60" s="61" customFormat="1" ht="18.75" customHeight="1">
      <c r="A274" s="195">
        <v>269</v>
      </c>
      <c r="B274" s="196" t="s">
        <v>629</v>
      </c>
      <c r="C274" s="65" t="s">
        <v>88</v>
      </c>
      <c r="D274" s="65" t="s">
        <v>85</v>
      </c>
      <c r="E274" s="65" t="s">
        <v>634</v>
      </c>
      <c r="F274" s="65" t="s">
        <v>635</v>
      </c>
      <c r="G274" s="110">
        <v>59896</v>
      </c>
      <c r="H274" s="196"/>
      <c r="I274" s="110"/>
      <c r="J274" s="222"/>
      <c r="K274" s="110"/>
      <c r="L274" s="110"/>
      <c r="M274" s="110"/>
      <c r="N274" s="110"/>
      <c r="O274" s="110"/>
      <c r="P274" s="197"/>
      <c r="Q274" s="197"/>
      <c r="R274" s="197"/>
      <c r="S274" s="197"/>
      <c r="T274" s="197"/>
      <c r="U274" s="110"/>
      <c r="V274" s="110"/>
      <c r="W274" s="110"/>
      <c r="X274" s="110"/>
      <c r="Y274" s="110"/>
      <c r="Z274" s="110"/>
      <c r="AA274" s="110"/>
      <c r="AB274" s="110"/>
      <c r="AC274" s="110"/>
      <c r="AD274" s="110"/>
      <c r="AE274" s="110">
        <f t="shared" si="31"/>
        <v>0</v>
      </c>
      <c r="AF274" s="198"/>
      <c r="AG274" s="198"/>
      <c r="AH274" s="199"/>
      <c r="AI274" s="199"/>
      <c r="AJ274" s="196"/>
      <c r="AK274" s="196"/>
      <c r="AL274" s="196"/>
      <c r="AM274" s="202">
        <v>45807</v>
      </c>
      <c r="AN274" s="200"/>
      <c r="AO274" s="107"/>
      <c r="AP274" s="107"/>
      <c r="AQ274" s="107"/>
      <c r="AR274" s="107">
        <v>45870</v>
      </c>
      <c r="AS274" s="107"/>
      <c r="AT274" s="107"/>
      <c r="AU274" s="218"/>
      <c r="AV274" s="218"/>
      <c r="AW274" s="196"/>
      <c r="AX274" s="107"/>
      <c r="AY274" s="107"/>
      <c r="AZ274" s="107"/>
      <c r="BA274" s="107"/>
      <c r="BB274" s="107"/>
      <c r="BC274" s="107"/>
      <c r="BD274" s="107"/>
      <c r="BE274" s="107"/>
      <c r="BF274" s="107"/>
      <c r="BG274" s="321"/>
      <c r="BH274" s="285" t="s">
        <v>1552</v>
      </c>
    </row>
    <row r="275" spans="1:60" s="61" customFormat="1" ht="18.75" customHeight="1">
      <c r="A275" s="195">
        <v>270</v>
      </c>
      <c r="B275" s="196" t="s">
        <v>629</v>
      </c>
      <c r="C275" s="65" t="s">
        <v>88</v>
      </c>
      <c r="D275" s="65" t="s">
        <v>73</v>
      </c>
      <c r="E275" s="65" t="s">
        <v>650</v>
      </c>
      <c r="F275" s="65" t="s">
        <v>651</v>
      </c>
      <c r="G275" s="110">
        <v>31386</v>
      </c>
      <c r="H275" s="196">
        <v>1996</v>
      </c>
      <c r="I275" s="110">
        <v>8</v>
      </c>
      <c r="J275" s="222">
        <v>793</v>
      </c>
      <c r="K275" s="110"/>
      <c r="L275" s="110"/>
      <c r="M275" s="110"/>
      <c r="N275" s="110"/>
      <c r="O275" s="110"/>
      <c r="P275" s="197"/>
      <c r="Q275" s="197"/>
      <c r="R275" s="197"/>
      <c r="S275" s="197"/>
      <c r="T275" s="197"/>
      <c r="U275" s="110"/>
      <c r="V275" s="110"/>
      <c r="W275" s="110"/>
      <c r="X275" s="110"/>
      <c r="Y275" s="110"/>
      <c r="Z275" s="110"/>
      <c r="AA275" s="110"/>
      <c r="AB275" s="110"/>
      <c r="AC275" s="110"/>
      <c r="AD275" s="110"/>
      <c r="AE275" s="110">
        <f t="shared" si="31"/>
        <v>-793</v>
      </c>
      <c r="AF275" s="198">
        <v>2.3839999999999999</v>
      </c>
      <c r="AG275" s="198"/>
      <c r="AH275" s="199">
        <v>752</v>
      </c>
      <c r="AI275" s="199"/>
      <c r="AJ275" s="196"/>
      <c r="AK275" s="196"/>
      <c r="AL275" s="196"/>
      <c r="AM275" s="202">
        <v>45807</v>
      </c>
      <c r="AN275" s="200"/>
      <c r="AO275" s="107"/>
      <c r="AP275" s="107"/>
      <c r="AQ275" s="107"/>
      <c r="AR275" s="107">
        <v>46041</v>
      </c>
      <c r="AS275" s="107"/>
      <c r="AT275" s="107"/>
      <c r="AU275" s="218"/>
      <c r="AV275" s="218"/>
      <c r="AW275" s="196"/>
      <c r="AX275" s="107"/>
      <c r="AY275" s="107"/>
      <c r="AZ275" s="107"/>
      <c r="BA275" s="107"/>
      <c r="BB275" s="107"/>
      <c r="BC275" s="107"/>
      <c r="BD275" s="107"/>
      <c r="BE275" s="107"/>
      <c r="BF275" s="107"/>
      <c r="BG275" s="321"/>
      <c r="BH275" s="285" t="s">
        <v>1554</v>
      </c>
    </row>
    <row r="276" spans="1:60" s="61" customFormat="1" ht="18.75" customHeight="1">
      <c r="A276" s="195">
        <v>271</v>
      </c>
      <c r="B276" s="196" t="s">
        <v>629</v>
      </c>
      <c r="C276" s="65" t="s">
        <v>88</v>
      </c>
      <c r="D276" s="65" t="s">
        <v>85</v>
      </c>
      <c r="E276" s="65" t="s">
        <v>652</v>
      </c>
      <c r="F276" s="65" t="s">
        <v>653</v>
      </c>
      <c r="G276" s="110">
        <v>54197</v>
      </c>
      <c r="H276" s="196"/>
      <c r="I276" s="110"/>
      <c r="J276" s="110">
        <v>700</v>
      </c>
      <c r="K276" s="110"/>
      <c r="L276" s="110"/>
      <c r="M276" s="110"/>
      <c r="N276" s="110"/>
      <c r="O276" s="110"/>
      <c r="P276" s="197"/>
      <c r="Q276" s="197"/>
      <c r="R276" s="197"/>
      <c r="S276" s="197"/>
      <c r="T276" s="197"/>
      <c r="U276" s="110"/>
      <c r="V276" s="110"/>
      <c r="W276" s="110"/>
      <c r="X276" s="110"/>
      <c r="Y276" s="110"/>
      <c r="Z276" s="110"/>
      <c r="AA276" s="110"/>
      <c r="AB276" s="110"/>
      <c r="AC276" s="110"/>
      <c r="AD276" s="110"/>
      <c r="AE276" s="110">
        <f t="shared" ref="AE276:AE338" si="38">T276-J276</f>
        <v>-700</v>
      </c>
      <c r="AF276" s="198"/>
      <c r="AG276" s="198"/>
      <c r="AH276" s="199">
        <v>661</v>
      </c>
      <c r="AI276" s="199"/>
      <c r="AJ276" s="196"/>
      <c r="AK276" s="196"/>
      <c r="AL276" s="196"/>
      <c r="AM276" s="202">
        <v>45807</v>
      </c>
      <c r="AN276" s="200"/>
      <c r="AO276" s="107"/>
      <c r="AP276" s="107"/>
      <c r="AQ276" s="107"/>
      <c r="AR276" s="107">
        <v>46008</v>
      </c>
      <c r="AS276" s="107"/>
      <c r="AT276" s="107"/>
      <c r="AU276" s="218"/>
      <c r="AV276" s="218"/>
      <c r="AW276" s="196"/>
      <c r="AX276" s="107"/>
      <c r="AY276" s="107"/>
      <c r="AZ276" s="107"/>
      <c r="BA276" s="107"/>
      <c r="BB276" s="107"/>
      <c r="BC276" s="107"/>
      <c r="BD276" s="107"/>
      <c r="BE276" s="107"/>
      <c r="BF276" s="107"/>
      <c r="BG276" s="321"/>
      <c r="BH276" s="285" t="s">
        <v>1555</v>
      </c>
    </row>
    <row r="277" spans="1:60" s="77" customFormat="1" ht="20.100000000000001" customHeight="1">
      <c r="A277" s="195">
        <v>272</v>
      </c>
      <c r="B277" s="196" t="s">
        <v>629</v>
      </c>
      <c r="C277" s="65" t="s">
        <v>88</v>
      </c>
      <c r="D277" s="65" t="s">
        <v>73</v>
      </c>
      <c r="E277" s="65" t="s">
        <v>654</v>
      </c>
      <c r="F277" s="65" t="s">
        <v>655</v>
      </c>
      <c r="G277" s="110">
        <v>41517</v>
      </c>
      <c r="H277" s="196">
        <v>1992</v>
      </c>
      <c r="I277" s="110">
        <v>13</v>
      </c>
      <c r="J277" s="222">
        <v>794</v>
      </c>
      <c r="K277" s="110"/>
      <c r="L277" s="110"/>
      <c r="M277" s="110">
        <v>554</v>
      </c>
      <c r="N277" s="110">
        <v>240</v>
      </c>
      <c r="O277" s="110"/>
      <c r="P277" s="197"/>
      <c r="Q277" s="197"/>
      <c r="R277" s="197"/>
      <c r="S277" s="197"/>
      <c r="T277" s="197"/>
      <c r="U277" s="110"/>
      <c r="V277" s="110"/>
      <c r="W277" s="110"/>
      <c r="X277" s="110"/>
      <c r="Y277" s="110"/>
      <c r="Z277" s="110"/>
      <c r="AA277" s="110"/>
      <c r="AB277" s="110"/>
      <c r="AC277" s="110"/>
      <c r="AD277" s="110"/>
      <c r="AE277" s="110">
        <f t="shared" si="38"/>
        <v>-794</v>
      </c>
      <c r="AF277" s="224">
        <v>2.109</v>
      </c>
      <c r="AG277" s="198">
        <v>2.5</v>
      </c>
      <c r="AH277" s="199"/>
      <c r="AI277" s="199"/>
      <c r="AJ277" s="196"/>
      <c r="AK277" s="196"/>
      <c r="AL277" s="196"/>
      <c r="AM277" s="202">
        <v>43899</v>
      </c>
      <c r="AN277" s="202" t="s">
        <v>656</v>
      </c>
      <c r="AO277" s="107">
        <v>46003</v>
      </c>
      <c r="AP277" s="107">
        <v>46003</v>
      </c>
      <c r="AQ277" s="107"/>
      <c r="AR277" s="107">
        <v>46099</v>
      </c>
      <c r="AS277" s="107">
        <v>45028</v>
      </c>
      <c r="AT277" s="107"/>
      <c r="AU277" s="218">
        <v>45373</v>
      </c>
      <c r="AV277" s="218" t="s">
        <v>82</v>
      </c>
      <c r="AW277" s="196" t="s">
        <v>70</v>
      </c>
      <c r="AX277" s="107"/>
      <c r="AY277" s="107"/>
      <c r="AZ277" s="107"/>
      <c r="BA277" s="107"/>
      <c r="BB277" s="107"/>
      <c r="BC277" s="107"/>
      <c r="BD277" s="107"/>
      <c r="BE277" s="107"/>
      <c r="BF277" s="107"/>
      <c r="BG277" s="321"/>
      <c r="BH277" s="285" t="s">
        <v>1554</v>
      </c>
    </row>
    <row r="278" spans="1:60" s="77" customFormat="1" ht="20.100000000000001" customHeight="1">
      <c r="A278" s="195">
        <v>273</v>
      </c>
      <c r="B278" s="196" t="s">
        <v>629</v>
      </c>
      <c r="C278" s="65" t="s">
        <v>88</v>
      </c>
      <c r="D278" s="65" t="s">
        <v>73</v>
      </c>
      <c r="E278" s="65" t="s">
        <v>657</v>
      </c>
      <c r="F278" s="65" t="s">
        <v>658</v>
      </c>
      <c r="G278" s="110">
        <v>30231</v>
      </c>
      <c r="H278" s="196">
        <v>1987</v>
      </c>
      <c r="I278" s="110">
        <v>11</v>
      </c>
      <c r="J278" s="110">
        <v>735</v>
      </c>
      <c r="K278" s="110"/>
      <c r="L278" s="110">
        <v>75</v>
      </c>
      <c r="M278" s="110">
        <v>600</v>
      </c>
      <c r="N278" s="110">
        <v>60</v>
      </c>
      <c r="O278" s="110"/>
      <c r="P278" s="197"/>
      <c r="Q278" s="197"/>
      <c r="R278" s="197"/>
      <c r="S278" s="197"/>
      <c r="T278" s="197">
        <f>U278+AA278</f>
        <v>810</v>
      </c>
      <c r="U278" s="225">
        <v>810</v>
      </c>
      <c r="V278" s="110"/>
      <c r="W278" s="110"/>
      <c r="X278" s="110"/>
      <c r="Y278" s="110"/>
      <c r="Z278" s="110"/>
      <c r="AA278" s="110"/>
      <c r="AB278" s="110"/>
      <c r="AC278" s="110"/>
      <c r="AD278" s="110"/>
      <c r="AE278" s="110">
        <f t="shared" si="38"/>
        <v>75</v>
      </c>
      <c r="AF278" s="224">
        <v>2.3570000000000002</v>
      </c>
      <c r="AG278" s="198">
        <v>2.8</v>
      </c>
      <c r="AH278" s="199">
        <v>775</v>
      </c>
      <c r="AI278" s="199"/>
      <c r="AJ278" s="196"/>
      <c r="AK278" s="196"/>
      <c r="AL278" s="196"/>
      <c r="AM278" s="202">
        <v>43899</v>
      </c>
      <c r="AN278" s="202" t="s">
        <v>659</v>
      </c>
      <c r="AO278" s="107">
        <v>45728</v>
      </c>
      <c r="AP278" s="107">
        <v>45728</v>
      </c>
      <c r="AQ278" s="107"/>
      <c r="AR278" s="107">
        <v>45779</v>
      </c>
      <c r="AS278" s="107">
        <v>44019</v>
      </c>
      <c r="AT278" s="107"/>
      <c r="AU278" s="218">
        <v>44456</v>
      </c>
      <c r="AV278" s="218" t="s">
        <v>82</v>
      </c>
      <c r="AW278" s="196" t="s">
        <v>70</v>
      </c>
      <c r="AX278" s="107"/>
      <c r="AY278" s="107"/>
      <c r="AZ278" s="107"/>
      <c r="BA278" s="107"/>
      <c r="BB278" s="107"/>
      <c r="BC278" s="107"/>
      <c r="BD278" s="107"/>
      <c r="BE278" s="107"/>
      <c r="BF278" s="107"/>
      <c r="BG278" s="321"/>
      <c r="BH278" s="285" t="s">
        <v>1554</v>
      </c>
    </row>
    <row r="279" spans="1:60" s="77" customFormat="1" ht="20.100000000000001" customHeight="1">
      <c r="A279" s="195">
        <v>274</v>
      </c>
      <c r="B279" s="196" t="s">
        <v>629</v>
      </c>
      <c r="C279" s="65" t="s">
        <v>88</v>
      </c>
      <c r="D279" s="65" t="s">
        <v>73</v>
      </c>
      <c r="E279" s="65" t="s">
        <v>660</v>
      </c>
      <c r="F279" s="65" t="s">
        <v>661</v>
      </c>
      <c r="G279" s="110">
        <v>18384</v>
      </c>
      <c r="H279" s="196">
        <v>1987</v>
      </c>
      <c r="I279" s="110">
        <v>7</v>
      </c>
      <c r="J279" s="110">
        <v>432</v>
      </c>
      <c r="K279" s="110"/>
      <c r="L279" s="110"/>
      <c r="M279" s="110"/>
      <c r="N279" s="110"/>
      <c r="O279" s="110"/>
      <c r="P279" s="197"/>
      <c r="Q279" s="197"/>
      <c r="R279" s="197"/>
      <c r="S279" s="197"/>
      <c r="T279" s="197">
        <f>U279+AA279</f>
        <v>462</v>
      </c>
      <c r="U279" s="225">
        <v>462</v>
      </c>
      <c r="V279" s="110"/>
      <c r="W279" s="110"/>
      <c r="X279" s="110"/>
      <c r="Y279" s="110"/>
      <c r="Z279" s="110"/>
      <c r="AA279" s="110"/>
      <c r="AB279" s="110"/>
      <c r="AC279" s="110"/>
      <c r="AD279" s="110"/>
      <c r="AE279" s="110">
        <f t="shared" si="38"/>
        <v>30</v>
      </c>
      <c r="AF279" s="224">
        <v>1.835</v>
      </c>
      <c r="AG279" s="198">
        <v>2.5</v>
      </c>
      <c r="AH279" s="199">
        <v>437</v>
      </c>
      <c r="AI279" s="199"/>
      <c r="AJ279" s="196"/>
      <c r="AK279" s="196"/>
      <c r="AL279" s="196"/>
      <c r="AM279" s="202">
        <v>43899</v>
      </c>
      <c r="AN279" s="202" t="s">
        <v>659</v>
      </c>
      <c r="AO279" s="107">
        <v>45681</v>
      </c>
      <c r="AP279" s="107">
        <v>45681</v>
      </c>
      <c r="AQ279" s="107"/>
      <c r="AR279" s="107">
        <v>45887</v>
      </c>
      <c r="AS279" s="107">
        <v>44020</v>
      </c>
      <c r="AT279" s="107"/>
      <c r="AU279" s="218">
        <v>44438</v>
      </c>
      <c r="AV279" s="218" t="s">
        <v>82</v>
      </c>
      <c r="AW279" s="196" t="s">
        <v>70</v>
      </c>
      <c r="AX279" s="107"/>
      <c r="AY279" s="107"/>
      <c r="AZ279" s="107"/>
      <c r="BA279" s="107"/>
      <c r="BB279" s="107"/>
      <c r="BC279" s="107"/>
      <c r="BD279" s="107"/>
      <c r="BE279" s="107"/>
      <c r="BF279" s="107"/>
      <c r="BG279" s="321"/>
      <c r="BH279" s="285" t="s">
        <v>1551</v>
      </c>
    </row>
    <row r="280" spans="1:60" s="77" customFormat="1" ht="20.100000000000001" customHeight="1">
      <c r="A280" s="195">
        <v>275</v>
      </c>
      <c r="B280" s="196" t="s">
        <v>629</v>
      </c>
      <c r="C280" s="65" t="s">
        <v>88</v>
      </c>
      <c r="D280" s="65" t="s">
        <v>73</v>
      </c>
      <c r="E280" s="65" t="s">
        <v>662</v>
      </c>
      <c r="F280" s="65" t="s">
        <v>663</v>
      </c>
      <c r="G280" s="110">
        <v>27125</v>
      </c>
      <c r="H280" s="196">
        <v>1987</v>
      </c>
      <c r="I280" s="110">
        <v>17</v>
      </c>
      <c r="J280" s="110">
        <v>658</v>
      </c>
      <c r="K280" s="110"/>
      <c r="L280" s="110"/>
      <c r="M280" s="110"/>
      <c r="N280" s="110"/>
      <c r="O280" s="110"/>
      <c r="P280" s="197"/>
      <c r="Q280" s="197"/>
      <c r="R280" s="197"/>
      <c r="S280" s="197"/>
      <c r="T280" s="197"/>
      <c r="U280" s="197"/>
      <c r="V280" s="110"/>
      <c r="W280" s="110"/>
      <c r="X280" s="110"/>
      <c r="Y280" s="110"/>
      <c r="Z280" s="110"/>
      <c r="AA280" s="110"/>
      <c r="AB280" s="110"/>
      <c r="AC280" s="110"/>
      <c r="AD280" s="110"/>
      <c r="AE280" s="110">
        <f t="shared" si="38"/>
        <v>-658</v>
      </c>
      <c r="AF280" s="224">
        <v>2.109</v>
      </c>
      <c r="AG280" s="198" t="s">
        <v>664</v>
      </c>
      <c r="AH280" s="199">
        <v>671</v>
      </c>
      <c r="AI280" s="199"/>
      <c r="AJ280" s="196"/>
      <c r="AK280" s="196"/>
      <c r="AL280" s="196"/>
      <c r="AM280" s="202">
        <v>43899</v>
      </c>
      <c r="AN280" s="202" t="s">
        <v>659</v>
      </c>
      <c r="AO280" s="107">
        <v>45681</v>
      </c>
      <c r="AP280" s="107">
        <v>45681</v>
      </c>
      <c r="AQ280" s="107"/>
      <c r="AR280" s="107">
        <v>45786</v>
      </c>
      <c r="AS280" s="107">
        <v>44034</v>
      </c>
      <c r="AT280" s="107"/>
      <c r="AU280" s="218">
        <v>44414</v>
      </c>
      <c r="AV280" s="218" t="s">
        <v>82</v>
      </c>
      <c r="AW280" s="196" t="s">
        <v>70</v>
      </c>
      <c r="AX280" s="107"/>
      <c r="AY280" s="107"/>
      <c r="AZ280" s="107"/>
      <c r="BA280" s="107"/>
      <c r="BB280" s="107"/>
      <c r="BC280" s="107"/>
      <c r="BD280" s="107"/>
      <c r="BE280" s="107"/>
      <c r="BF280" s="107"/>
      <c r="BG280" s="321"/>
      <c r="BH280" s="285" t="s">
        <v>1556</v>
      </c>
    </row>
    <row r="281" spans="1:60" s="77" customFormat="1" ht="20.100000000000001" customHeight="1">
      <c r="A281" s="195">
        <v>276</v>
      </c>
      <c r="B281" s="196" t="s">
        <v>629</v>
      </c>
      <c r="C281" s="65" t="s">
        <v>88</v>
      </c>
      <c r="D281" s="65" t="s">
        <v>73</v>
      </c>
      <c r="E281" s="65" t="s">
        <v>665</v>
      </c>
      <c r="F281" s="65" t="s">
        <v>666</v>
      </c>
      <c r="G281" s="110">
        <v>12412</v>
      </c>
      <c r="H281" s="196">
        <v>1985</v>
      </c>
      <c r="I281" s="110">
        <v>5</v>
      </c>
      <c r="J281" s="110">
        <v>275</v>
      </c>
      <c r="K281" s="110"/>
      <c r="L281" s="110"/>
      <c r="M281" s="110"/>
      <c r="N281" s="110">
        <v>275</v>
      </c>
      <c r="O281" s="110"/>
      <c r="P281" s="197"/>
      <c r="Q281" s="197"/>
      <c r="R281" s="197"/>
      <c r="S281" s="197"/>
      <c r="T281" s="197"/>
      <c r="U281" s="197"/>
      <c r="V281" s="110"/>
      <c r="W281" s="110"/>
      <c r="X281" s="110"/>
      <c r="Y281" s="110"/>
      <c r="Z281" s="110"/>
      <c r="AA281" s="110"/>
      <c r="AB281" s="110"/>
      <c r="AC281" s="110"/>
      <c r="AD281" s="110"/>
      <c r="AE281" s="110">
        <f t="shared" si="38"/>
        <v>-275</v>
      </c>
      <c r="AF281" s="224">
        <v>2.2869999999999999</v>
      </c>
      <c r="AG281" s="198" t="s">
        <v>667</v>
      </c>
      <c r="AH281" s="199"/>
      <c r="AI281" s="199"/>
      <c r="AJ281" s="196"/>
      <c r="AK281" s="196"/>
      <c r="AL281" s="196"/>
      <c r="AM281" s="202">
        <v>43899</v>
      </c>
      <c r="AN281" s="202" t="s">
        <v>659</v>
      </c>
      <c r="AO281" s="107">
        <v>45701</v>
      </c>
      <c r="AP281" s="107">
        <v>45701</v>
      </c>
      <c r="AQ281" s="107"/>
      <c r="AR281" s="107">
        <v>46114</v>
      </c>
      <c r="AS281" s="107">
        <v>44036</v>
      </c>
      <c r="AT281" s="107"/>
      <c r="AU281" s="218">
        <v>44439</v>
      </c>
      <c r="AV281" s="218" t="s">
        <v>82</v>
      </c>
      <c r="AW281" s="196" t="s">
        <v>70</v>
      </c>
      <c r="AX281" s="107"/>
      <c r="AY281" s="107"/>
      <c r="AZ281" s="107"/>
      <c r="BA281" s="107"/>
      <c r="BB281" s="107"/>
      <c r="BC281" s="107"/>
      <c r="BD281" s="107"/>
      <c r="BE281" s="107"/>
      <c r="BF281" s="107"/>
      <c r="BG281" s="321"/>
      <c r="BH281" s="285" t="s">
        <v>1551</v>
      </c>
    </row>
    <row r="282" spans="1:60" s="61" customFormat="1" ht="18.75" customHeight="1">
      <c r="A282" s="195">
        <v>277</v>
      </c>
      <c r="B282" s="196" t="s">
        <v>629</v>
      </c>
      <c r="C282" s="65" t="s">
        <v>88</v>
      </c>
      <c r="D282" s="65" t="s">
        <v>85</v>
      </c>
      <c r="E282" s="65" t="s">
        <v>668</v>
      </c>
      <c r="F282" s="65" t="s">
        <v>669</v>
      </c>
      <c r="G282" s="110">
        <v>45993</v>
      </c>
      <c r="H282" s="196"/>
      <c r="I282" s="110"/>
      <c r="J282" s="110">
        <v>487</v>
      </c>
      <c r="K282" s="110"/>
      <c r="L282" s="110"/>
      <c r="M282" s="110"/>
      <c r="N282" s="110"/>
      <c r="O282" s="110"/>
      <c r="P282" s="197"/>
      <c r="Q282" s="197"/>
      <c r="R282" s="197"/>
      <c r="S282" s="197"/>
      <c r="T282" s="197"/>
      <c r="U282" s="110"/>
      <c r="V282" s="110"/>
      <c r="W282" s="110"/>
      <c r="X282" s="110"/>
      <c r="Y282" s="110"/>
      <c r="Z282" s="110"/>
      <c r="AA282" s="110"/>
      <c r="AB282" s="110"/>
      <c r="AC282" s="110"/>
      <c r="AD282" s="110"/>
      <c r="AE282" s="110">
        <f t="shared" si="38"/>
        <v>-487</v>
      </c>
      <c r="AF282" s="198"/>
      <c r="AG282" s="198"/>
      <c r="AH282" s="199"/>
      <c r="AI282" s="199"/>
      <c r="AJ282" s="196"/>
      <c r="AK282" s="196"/>
      <c r="AL282" s="196"/>
      <c r="AM282" s="202">
        <v>45807</v>
      </c>
      <c r="AN282" s="200"/>
      <c r="AO282" s="107"/>
      <c r="AP282" s="107"/>
      <c r="AQ282" s="107"/>
      <c r="AR282" s="107">
        <v>45898</v>
      </c>
      <c r="AS282" s="107"/>
      <c r="AT282" s="107"/>
      <c r="AU282" s="218"/>
      <c r="AV282" s="218"/>
      <c r="AW282" s="196"/>
      <c r="AX282" s="107"/>
      <c r="AY282" s="107"/>
      <c r="AZ282" s="107"/>
      <c r="BA282" s="107"/>
      <c r="BB282" s="107"/>
      <c r="BC282" s="107"/>
      <c r="BD282" s="107"/>
      <c r="BE282" s="107"/>
      <c r="BF282" s="107"/>
      <c r="BG282" s="321"/>
      <c r="BH282" s="285" t="s">
        <v>1557</v>
      </c>
    </row>
    <row r="283" spans="1:60" s="61" customFormat="1" ht="18.75" customHeight="1">
      <c r="A283" s="195">
        <v>278</v>
      </c>
      <c r="B283" s="196" t="s">
        <v>629</v>
      </c>
      <c r="C283" s="65" t="s">
        <v>88</v>
      </c>
      <c r="D283" s="65" t="s">
        <v>85</v>
      </c>
      <c r="E283" s="219" t="s">
        <v>670</v>
      </c>
      <c r="F283" s="65" t="s">
        <v>671</v>
      </c>
      <c r="G283" s="110">
        <v>32839</v>
      </c>
      <c r="H283" s="196"/>
      <c r="I283" s="110"/>
      <c r="J283" s="110">
        <v>391</v>
      </c>
      <c r="K283" s="110"/>
      <c r="L283" s="110"/>
      <c r="M283" s="110"/>
      <c r="N283" s="110"/>
      <c r="O283" s="110"/>
      <c r="P283" s="197"/>
      <c r="Q283" s="197"/>
      <c r="R283" s="197"/>
      <c r="S283" s="197"/>
      <c r="T283" s="197"/>
      <c r="U283" s="110"/>
      <c r="V283" s="110"/>
      <c r="W283" s="110"/>
      <c r="X283" s="110"/>
      <c r="Y283" s="110"/>
      <c r="Z283" s="110"/>
      <c r="AA283" s="110"/>
      <c r="AB283" s="110"/>
      <c r="AC283" s="110"/>
      <c r="AD283" s="110"/>
      <c r="AE283" s="110">
        <f t="shared" si="38"/>
        <v>-391</v>
      </c>
      <c r="AF283" s="198"/>
      <c r="AG283" s="198"/>
      <c r="AH283" s="199"/>
      <c r="AI283" s="199"/>
      <c r="AJ283" s="196"/>
      <c r="AK283" s="196"/>
      <c r="AL283" s="196"/>
      <c r="AM283" s="202">
        <v>45807</v>
      </c>
      <c r="AN283" s="200"/>
      <c r="AO283" s="107"/>
      <c r="AP283" s="107"/>
      <c r="AQ283" s="107"/>
      <c r="AR283" s="107">
        <v>45876</v>
      </c>
      <c r="AS283" s="107"/>
      <c r="AT283" s="107"/>
      <c r="AU283" s="218"/>
      <c r="AV283" s="218"/>
      <c r="AW283" s="196"/>
      <c r="AX283" s="107"/>
      <c r="AY283" s="107"/>
      <c r="AZ283" s="107"/>
      <c r="BA283" s="107"/>
      <c r="BB283" s="107"/>
      <c r="BC283" s="107"/>
      <c r="BD283" s="107"/>
      <c r="BE283" s="107"/>
      <c r="BF283" s="107"/>
      <c r="BG283" s="321"/>
      <c r="BH283" s="285" t="s">
        <v>1557</v>
      </c>
    </row>
    <row r="284" spans="1:60" s="61" customFormat="1" ht="18.75" customHeight="1">
      <c r="A284" s="195">
        <v>279</v>
      </c>
      <c r="B284" s="196" t="s">
        <v>629</v>
      </c>
      <c r="C284" s="65" t="s">
        <v>88</v>
      </c>
      <c r="D284" s="65" t="s">
        <v>73</v>
      </c>
      <c r="E284" s="65" t="s">
        <v>674</v>
      </c>
      <c r="F284" s="65" t="s">
        <v>675</v>
      </c>
      <c r="G284" s="110">
        <v>8446</v>
      </c>
      <c r="H284" s="196">
        <v>1988</v>
      </c>
      <c r="I284" s="110">
        <v>5</v>
      </c>
      <c r="J284" s="222">
        <v>239</v>
      </c>
      <c r="K284" s="110"/>
      <c r="L284" s="110"/>
      <c r="M284" s="110"/>
      <c r="N284" s="110"/>
      <c r="O284" s="110"/>
      <c r="P284" s="197"/>
      <c r="Q284" s="197"/>
      <c r="R284" s="197"/>
      <c r="S284" s="197"/>
      <c r="T284" s="197"/>
      <c r="U284" s="110"/>
      <c r="V284" s="110"/>
      <c r="W284" s="110"/>
      <c r="X284" s="110"/>
      <c r="Y284" s="110"/>
      <c r="Z284" s="110"/>
      <c r="AA284" s="110"/>
      <c r="AB284" s="110"/>
      <c r="AC284" s="110"/>
      <c r="AD284" s="110"/>
      <c r="AE284" s="110">
        <f t="shared" si="38"/>
        <v>-239</v>
      </c>
      <c r="AF284" s="198">
        <v>1.5680000000000001</v>
      </c>
      <c r="AG284" s="198"/>
      <c r="AH284" s="199">
        <v>231</v>
      </c>
      <c r="AI284" s="199"/>
      <c r="AJ284" s="196"/>
      <c r="AK284" s="196"/>
      <c r="AL284" s="196"/>
      <c r="AM284" s="202">
        <v>45807</v>
      </c>
      <c r="AN284" s="200"/>
      <c r="AO284" s="107"/>
      <c r="AP284" s="107"/>
      <c r="AQ284" s="107"/>
      <c r="AR284" s="107">
        <v>45924</v>
      </c>
      <c r="AS284" s="107"/>
      <c r="AT284" s="107"/>
      <c r="AU284" s="218"/>
      <c r="AV284" s="218"/>
      <c r="AW284" s="196"/>
      <c r="AX284" s="107"/>
      <c r="AY284" s="107"/>
      <c r="AZ284" s="107"/>
      <c r="BA284" s="107"/>
      <c r="BB284" s="107"/>
      <c r="BC284" s="107"/>
      <c r="BD284" s="107"/>
      <c r="BE284" s="107"/>
      <c r="BF284" s="107"/>
      <c r="BG284" s="321"/>
      <c r="BH284" s="285" t="s">
        <v>1554</v>
      </c>
    </row>
    <row r="285" spans="1:60" s="61" customFormat="1" ht="18.75" customHeight="1">
      <c r="A285" s="195">
        <v>280</v>
      </c>
      <c r="B285" s="196" t="s">
        <v>629</v>
      </c>
      <c r="C285" s="65" t="s">
        <v>88</v>
      </c>
      <c r="D285" s="65" t="s">
        <v>73</v>
      </c>
      <c r="E285" s="65" t="s">
        <v>676</v>
      </c>
      <c r="F285" s="65" t="s">
        <v>677</v>
      </c>
      <c r="G285" s="110">
        <v>42168</v>
      </c>
      <c r="H285" s="196">
        <v>1990</v>
      </c>
      <c r="I285" s="110">
        <v>11</v>
      </c>
      <c r="J285" s="222">
        <v>1062</v>
      </c>
      <c r="K285" s="110"/>
      <c r="L285" s="110"/>
      <c r="M285" s="110"/>
      <c r="N285" s="110"/>
      <c r="O285" s="110"/>
      <c r="P285" s="197"/>
      <c r="Q285" s="197"/>
      <c r="R285" s="197"/>
      <c r="S285" s="197"/>
      <c r="T285" s="197"/>
      <c r="U285" s="110"/>
      <c r="V285" s="110"/>
      <c r="W285" s="110"/>
      <c r="X285" s="110"/>
      <c r="Y285" s="110"/>
      <c r="Z285" s="110"/>
      <c r="AA285" s="110"/>
      <c r="AB285" s="110"/>
      <c r="AC285" s="110"/>
      <c r="AD285" s="110"/>
      <c r="AE285" s="110">
        <f t="shared" si="38"/>
        <v>-1062</v>
      </c>
      <c r="AF285" s="198">
        <v>2.359</v>
      </c>
      <c r="AG285" s="198"/>
      <c r="AH285" s="199">
        <v>1049</v>
      </c>
      <c r="AI285" s="199"/>
      <c r="AJ285" s="196"/>
      <c r="AK285" s="196"/>
      <c r="AL285" s="196"/>
      <c r="AM285" s="202">
        <v>45807</v>
      </c>
      <c r="AN285" s="200"/>
      <c r="AO285" s="107"/>
      <c r="AP285" s="107"/>
      <c r="AQ285" s="107"/>
      <c r="AR285" s="107">
        <v>45945</v>
      </c>
      <c r="AS285" s="107"/>
      <c r="AT285" s="107"/>
      <c r="AU285" s="218"/>
      <c r="AV285" s="218"/>
      <c r="AW285" s="196"/>
      <c r="AX285" s="107"/>
      <c r="AY285" s="107"/>
      <c r="AZ285" s="107"/>
      <c r="BA285" s="107"/>
      <c r="BB285" s="107"/>
      <c r="BC285" s="107"/>
      <c r="BD285" s="107"/>
      <c r="BE285" s="107"/>
      <c r="BF285" s="107"/>
      <c r="BG285" s="321"/>
      <c r="BH285" s="285" t="s">
        <v>1554</v>
      </c>
    </row>
    <row r="286" spans="1:60" s="61" customFormat="1" ht="18.75" customHeight="1">
      <c r="A286" s="195">
        <v>281</v>
      </c>
      <c r="B286" s="196" t="s">
        <v>629</v>
      </c>
      <c r="C286" s="65" t="s">
        <v>88</v>
      </c>
      <c r="D286" s="65" t="s">
        <v>85</v>
      </c>
      <c r="E286" s="65" t="s">
        <v>678</v>
      </c>
      <c r="F286" s="65" t="s">
        <v>679</v>
      </c>
      <c r="G286" s="110">
        <v>41512</v>
      </c>
      <c r="H286" s="196"/>
      <c r="I286" s="110"/>
      <c r="J286" s="222"/>
      <c r="K286" s="110"/>
      <c r="L286" s="110"/>
      <c r="M286" s="110"/>
      <c r="N286" s="110"/>
      <c r="O286" s="110"/>
      <c r="P286" s="197"/>
      <c r="Q286" s="197"/>
      <c r="R286" s="197"/>
      <c r="S286" s="197"/>
      <c r="T286" s="197"/>
      <c r="U286" s="110"/>
      <c r="V286" s="110"/>
      <c r="W286" s="110"/>
      <c r="X286" s="110"/>
      <c r="Y286" s="110"/>
      <c r="Z286" s="110"/>
      <c r="AA286" s="110"/>
      <c r="AB286" s="110"/>
      <c r="AC286" s="110"/>
      <c r="AD286" s="110"/>
      <c r="AE286" s="110">
        <f t="shared" si="38"/>
        <v>0</v>
      </c>
      <c r="AF286" s="198"/>
      <c r="AG286" s="198"/>
      <c r="AH286" s="199"/>
      <c r="AI286" s="199"/>
      <c r="AJ286" s="196"/>
      <c r="AK286" s="196"/>
      <c r="AL286" s="196"/>
      <c r="AM286" s="200">
        <v>45807</v>
      </c>
      <c r="AN286" s="200"/>
      <c r="AO286" s="107"/>
      <c r="AP286" s="107"/>
      <c r="AQ286" s="107"/>
      <c r="AR286" s="107">
        <v>45904</v>
      </c>
      <c r="AS286" s="107"/>
      <c r="AT286" s="107"/>
      <c r="AU286" s="218"/>
      <c r="AV286" s="218"/>
      <c r="AW286" s="196"/>
      <c r="AX286" s="107"/>
      <c r="AY286" s="107"/>
      <c r="AZ286" s="107"/>
      <c r="BA286" s="107"/>
      <c r="BB286" s="107"/>
      <c r="BC286" s="107"/>
      <c r="BD286" s="107"/>
      <c r="BE286" s="107"/>
      <c r="BF286" s="107"/>
      <c r="BG286" s="321"/>
      <c r="BH286" s="285" t="s">
        <v>1550</v>
      </c>
    </row>
    <row r="287" spans="1:60" s="61" customFormat="1" ht="18.75" customHeight="1">
      <c r="A287" s="195">
        <v>282</v>
      </c>
      <c r="B287" s="196" t="s">
        <v>629</v>
      </c>
      <c r="C287" s="65" t="s">
        <v>88</v>
      </c>
      <c r="D287" s="65" t="s">
        <v>85</v>
      </c>
      <c r="E287" s="65" t="s">
        <v>680</v>
      </c>
      <c r="F287" s="65" t="s">
        <v>681</v>
      </c>
      <c r="G287" s="110">
        <v>35188</v>
      </c>
      <c r="H287" s="196"/>
      <c r="I287" s="110"/>
      <c r="J287" s="222">
        <v>376</v>
      </c>
      <c r="K287" s="110"/>
      <c r="L287" s="110"/>
      <c r="M287" s="110"/>
      <c r="N287" s="110"/>
      <c r="O287" s="110"/>
      <c r="P287" s="197"/>
      <c r="Q287" s="197"/>
      <c r="R287" s="197"/>
      <c r="S287" s="197"/>
      <c r="T287" s="197"/>
      <c r="U287" s="110"/>
      <c r="V287" s="110"/>
      <c r="W287" s="110"/>
      <c r="X287" s="110"/>
      <c r="Y287" s="110"/>
      <c r="Z287" s="110"/>
      <c r="AA287" s="110"/>
      <c r="AB287" s="110"/>
      <c r="AC287" s="110"/>
      <c r="AD287" s="110"/>
      <c r="AE287" s="110">
        <f t="shared" si="38"/>
        <v>-376</v>
      </c>
      <c r="AF287" s="198"/>
      <c r="AG287" s="198"/>
      <c r="AH287" s="199">
        <v>375</v>
      </c>
      <c r="AI287" s="199"/>
      <c r="AJ287" s="196"/>
      <c r="AK287" s="196"/>
      <c r="AL287" s="196"/>
      <c r="AM287" s="202">
        <v>45807</v>
      </c>
      <c r="AN287" s="200"/>
      <c r="AO287" s="107"/>
      <c r="AP287" s="107"/>
      <c r="AQ287" s="107"/>
      <c r="AR287" s="107">
        <v>45905</v>
      </c>
      <c r="AS287" s="107"/>
      <c r="AT287" s="107"/>
      <c r="AU287" s="218"/>
      <c r="AV287" s="218"/>
      <c r="AW287" s="196"/>
      <c r="AX287" s="107"/>
      <c r="AY287" s="107"/>
      <c r="AZ287" s="107"/>
      <c r="BA287" s="107"/>
      <c r="BB287" s="107"/>
      <c r="BC287" s="107"/>
      <c r="BD287" s="107"/>
      <c r="BE287" s="107"/>
      <c r="BF287" s="107"/>
      <c r="BG287" s="321"/>
      <c r="BH287" s="285" t="s">
        <v>1555</v>
      </c>
    </row>
    <row r="288" spans="1:60" s="61" customFormat="1" ht="18.75" customHeight="1">
      <c r="A288" s="195">
        <v>283</v>
      </c>
      <c r="B288" s="196" t="s">
        <v>629</v>
      </c>
      <c r="C288" s="65" t="s">
        <v>88</v>
      </c>
      <c r="D288" s="65" t="s">
        <v>85</v>
      </c>
      <c r="E288" s="65" t="s">
        <v>682</v>
      </c>
      <c r="F288" s="65" t="s">
        <v>683</v>
      </c>
      <c r="G288" s="110">
        <v>23413</v>
      </c>
      <c r="H288" s="196"/>
      <c r="I288" s="110"/>
      <c r="J288" s="222">
        <v>269</v>
      </c>
      <c r="K288" s="110"/>
      <c r="L288" s="110"/>
      <c r="M288" s="110"/>
      <c r="N288" s="110"/>
      <c r="O288" s="110"/>
      <c r="P288" s="197"/>
      <c r="Q288" s="197"/>
      <c r="R288" s="197"/>
      <c r="S288" s="197"/>
      <c r="T288" s="197"/>
      <c r="U288" s="110"/>
      <c r="V288" s="110"/>
      <c r="W288" s="110"/>
      <c r="X288" s="110"/>
      <c r="Y288" s="110"/>
      <c r="Z288" s="110"/>
      <c r="AA288" s="110"/>
      <c r="AB288" s="110"/>
      <c r="AC288" s="110"/>
      <c r="AD288" s="110"/>
      <c r="AE288" s="110">
        <f t="shared" si="38"/>
        <v>-269</v>
      </c>
      <c r="AF288" s="198"/>
      <c r="AG288" s="198"/>
      <c r="AH288" s="199">
        <v>259</v>
      </c>
      <c r="AI288" s="199"/>
      <c r="AJ288" s="196"/>
      <c r="AK288" s="196"/>
      <c r="AL288" s="196"/>
      <c r="AM288" s="202">
        <v>45807</v>
      </c>
      <c r="AN288" s="200"/>
      <c r="AO288" s="107"/>
      <c r="AP288" s="107"/>
      <c r="AQ288" s="107"/>
      <c r="AR288" s="107">
        <v>45873</v>
      </c>
      <c r="AS288" s="107"/>
      <c r="AT288" s="107"/>
      <c r="AU288" s="218"/>
      <c r="AV288" s="218"/>
      <c r="AW288" s="196"/>
      <c r="AX288" s="107"/>
      <c r="AY288" s="107"/>
      <c r="AZ288" s="107"/>
      <c r="BA288" s="107"/>
      <c r="BB288" s="107"/>
      <c r="BC288" s="107"/>
      <c r="BD288" s="107"/>
      <c r="BE288" s="107"/>
      <c r="BF288" s="107"/>
      <c r="BG288" s="321"/>
      <c r="BH288" s="285" t="s">
        <v>1555</v>
      </c>
    </row>
    <row r="289" spans="1:60" s="61" customFormat="1" ht="18.75" customHeight="1">
      <c r="A289" s="195">
        <v>284</v>
      </c>
      <c r="B289" s="196" t="s">
        <v>629</v>
      </c>
      <c r="C289" s="65" t="s">
        <v>88</v>
      </c>
      <c r="D289" s="65" t="s">
        <v>85</v>
      </c>
      <c r="E289" s="65" t="s">
        <v>684</v>
      </c>
      <c r="F289" s="65" t="s">
        <v>685</v>
      </c>
      <c r="G289" s="110">
        <v>69079</v>
      </c>
      <c r="H289" s="196"/>
      <c r="I289" s="110"/>
      <c r="J289" s="222">
        <v>1067</v>
      </c>
      <c r="K289" s="110"/>
      <c r="L289" s="110"/>
      <c r="M289" s="110"/>
      <c r="N289" s="110"/>
      <c r="O289" s="110"/>
      <c r="P289" s="197"/>
      <c r="Q289" s="197"/>
      <c r="R289" s="197"/>
      <c r="S289" s="197"/>
      <c r="T289" s="197"/>
      <c r="U289" s="110"/>
      <c r="V289" s="110"/>
      <c r="W289" s="110"/>
      <c r="X289" s="110"/>
      <c r="Y289" s="110"/>
      <c r="Z289" s="110"/>
      <c r="AA289" s="110"/>
      <c r="AB289" s="110"/>
      <c r="AC289" s="110"/>
      <c r="AD289" s="110"/>
      <c r="AE289" s="110">
        <f t="shared" si="38"/>
        <v>-1067</v>
      </c>
      <c r="AF289" s="198"/>
      <c r="AG289" s="198"/>
      <c r="AH289" s="199">
        <v>1060</v>
      </c>
      <c r="AI289" s="199"/>
      <c r="AJ289" s="196"/>
      <c r="AK289" s="196"/>
      <c r="AL289" s="196"/>
      <c r="AM289" s="202">
        <v>45807</v>
      </c>
      <c r="AN289" s="200"/>
      <c r="AO289" s="107"/>
      <c r="AP289" s="107"/>
      <c r="AQ289" s="107"/>
      <c r="AR289" s="107">
        <v>45870</v>
      </c>
      <c r="AS289" s="107"/>
      <c r="AT289" s="107"/>
      <c r="AU289" s="218"/>
      <c r="AV289" s="218"/>
      <c r="AW289" s="196"/>
      <c r="AX289" s="107"/>
      <c r="AY289" s="107"/>
      <c r="AZ289" s="107"/>
      <c r="BA289" s="107"/>
      <c r="BB289" s="107"/>
      <c r="BC289" s="107"/>
      <c r="BD289" s="107"/>
      <c r="BE289" s="107"/>
      <c r="BF289" s="107"/>
      <c r="BG289" s="321"/>
      <c r="BH289" s="285" t="s">
        <v>1558</v>
      </c>
    </row>
    <row r="290" spans="1:60" s="61" customFormat="1" ht="18.75" customHeight="1">
      <c r="A290" s="195">
        <v>285</v>
      </c>
      <c r="B290" s="196" t="s">
        <v>629</v>
      </c>
      <c r="C290" s="65" t="s">
        <v>88</v>
      </c>
      <c r="D290" s="65" t="s">
        <v>85</v>
      </c>
      <c r="E290" s="65" t="s">
        <v>686</v>
      </c>
      <c r="F290" s="65" t="s">
        <v>687</v>
      </c>
      <c r="G290" s="110">
        <v>59564</v>
      </c>
      <c r="H290" s="196"/>
      <c r="I290" s="110"/>
      <c r="J290" s="222">
        <v>1062</v>
      </c>
      <c r="K290" s="110"/>
      <c r="L290" s="110"/>
      <c r="M290" s="110"/>
      <c r="N290" s="110"/>
      <c r="O290" s="110"/>
      <c r="P290" s="197"/>
      <c r="Q290" s="197"/>
      <c r="R290" s="197"/>
      <c r="S290" s="197"/>
      <c r="T290" s="197"/>
      <c r="U290" s="110"/>
      <c r="V290" s="110"/>
      <c r="W290" s="110"/>
      <c r="X290" s="110"/>
      <c r="Y290" s="110"/>
      <c r="Z290" s="110"/>
      <c r="AA290" s="110"/>
      <c r="AB290" s="110"/>
      <c r="AC290" s="110"/>
      <c r="AD290" s="110"/>
      <c r="AE290" s="110">
        <f t="shared" si="38"/>
        <v>-1062</v>
      </c>
      <c r="AF290" s="198"/>
      <c r="AG290" s="198"/>
      <c r="AH290" s="199">
        <v>968</v>
      </c>
      <c r="AI290" s="199"/>
      <c r="AJ290" s="196"/>
      <c r="AK290" s="196"/>
      <c r="AL290" s="196"/>
      <c r="AM290" s="202">
        <v>45807</v>
      </c>
      <c r="AN290" s="200"/>
      <c r="AO290" s="107"/>
      <c r="AP290" s="107"/>
      <c r="AQ290" s="107"/>
      <c r="AR290" s="107">
        <v>45888</v>
      </c>
      <c r="AS290" s="107"/>
      <c r="AT290" s="107"/>
      <c r="AU290" s="218"/>
      <c r="AV290" s="218"/>
      <c r="AW290" s="196"/>
      <c r="AX290" s="107"/>
      <c r="AY290" s="107"/>
      <c r="AZ290" s="107"/>
      <c r="BA290" s="107"/>
      <c r="BB290" s="107"/>
      <c r="BC290" s="107"/>
      <c r="BD290" s="107"/>
      <c r="BE290" s="107"/>
      <c r="BF290" s="107"/>
      <c r="BG290" s="321"/>
      <c r="BH290" s="285" t="s">
        <v>1558</v>
      </c>
    </row>
    <row r="291" spans="1:60" s="61" customFormat="1" ht="18.75" customHeight="1">
      <c r="A291" s="195">
        <v>286</v>
      </c>
      <c r="B291" s="196" t="s">
        <v>629</v>
      </c>
      <c r="C291" s="65" t="s">
        <v>88</v>
      </c>
      <c r="D291" s="65" t="s">
        <v>85</v>
      </c>
      <c r="E291" s="65" t="s">
        <v>688</v>
      </c>
      <c r="F291" s="65" t="s">
        <v>689</v>
      </c>
      <c r="G291" s="110">
        <v>34442</v>
      </c>
      <c r="H291" s="196"/>
      <c r="I291" s="110"/>
      <c r="J291" s="222">
        <v>738</v>
      </c>
      <c r="K291" s="110"/>
      <c r="L291" s="110"/>
      <c r="M291" s="110"/>
      <c r="N291" s="110"/>
      <c r="O291" s="110"/>
      <c r="P291" s="197"/>
      <c r="Q291" s="197"/>
      <c r="R291" s="197"/>
      <c r="S291" s="197"/>
      <c r="T291" s="197"/>
      <c r="U291" s="110"/>
      <c r="V291" s="110"/>
      <c r="W291" s="110"/>
      <c r="X291" s="110"/>
      <c r="Y291" s="110"/>
      <c r="Z291" s="110"/>
      <c r="AA291" s="110"/>
      <c r="AB291" s="110"/>
      <c r="AC291" s="110"/>
      <c r="AD291" s="110"/>
      <c r="AE291" s="110">
        <f t="shared" si="38"/>
        <v>-738</v>
      </c>
      <c r="AF291" s="198"/>
      <c r="AG291" s="198"/>
      <c r="AH291" s="199">
        <v>713</v>
      </c>
      <c r="AI291" s="199"/>
      <c r="AJ291" s="196"/>
      <c r="AK291" s="196"/>
      <c r="AL291" s="196"/>
      <c r="AM291" s="202">
        <v>45807</v>
      </c>
      <c r="AN291" s="200"/>
      <c r="AO291" s="107"/>
      <c r="AP291" s="107"/>
      <c r="AQ291" s="107"/>
      <c r="AR291" s="107">
        <v>45876</v>
      </c>
      <c r="AS291" s="107"/>
      <c r="AT291" s="107"/>
      <c r="AU291" s="218"/>
      <c r="AV291" s="218"/>
      <c r="AW291" s="196"/>
      <c r="AX291" s="107"/>
      <c r="AY291" s="107"/>
      <c r="AZ291" s="107"/>
      <c r="BA291" s="107"/>
      <c r="BB291" s="107"/>
      <c r="BC291" s="107"/>
      <c r="BD291" s="107"/>
      <c r="BE291" s="107"/>
      <c r="BF291" s="107"/>
      <c r="BG291" s="321"/>
      <c r="BH291" s="285" t="s">
        <v>1559</v>
      </c>
    </row>
    <row r="292" spans="1:60" s="61" customFormat="1" ht="18.75" customHeight="1">
      <c r="A292" s="195">
        <v>287</v>
      </c>
      <c r="B292" s="196" t="s">
        <v>629</v>
      </c>
      <c r="C292" s="65" t="s">
        <v>88</v>
      </c>
      <c r="D292" s="65" t="s">
        <v>85</v>
      </c>
      <c r="E292" s="65" t="s">
        <v>690</v>
      </c>
      <c r="F292" s="65" t="s">
        <v>691</v>
      </c>
      <c r="G292" s="110">
        <v>75462</v>
      </c>
      <c r="H292" s="196"/>
      <c r="I292" s="110"/>
      <c r="J292" s="222">
        <v>1275</v>
      </c>
      <c r="K292" s="110"/>
      <c r="L292" s="110"/>
      <c r="M292" s="110"/>
      <c r="N292" s="110"/>
      <c r="O292" s="110"/>
      <c r="P292" s="197"/>
      <c r="Q292" s="197"/>
      <c r="R292" s="197"/>
      <c r="S292" s="197"/>
      <c r="T292" s="197"/>
      <c r="U292" s="110"/>
      <c r="V292" s="110"/>
      <c r="W292" s="110"/>
      <c r="X292" s="110"/>
      <c r="Y292" s="110"/>
      <c r="Z292" s="110"/>
      <c r="AA292" s="110"/>
      <c r="AB292" s="110"/>
      <c r="AC292" s="110"/>
      <c r="AD292" s="110"/>
      <c r="AE292" s="110">
        <f t="shared" si="38"/>
        <v>-1275</v>
      </c>
      <c r="AF292" s="198"/>
      <c r="AG292" s="198"/>
      <c r="AH292" s="199">
        <v>1160</v>
      </c>
      <c r="AI292" s="199"/>
      <c r="AJ292" s="196"/>
      <c r="AK292" s="196"/>
      <c r="AL292" s="196"/>
      <c r="AM292" s="202">
        <v>45807</v>
      </c>
      <c r="AN292" s="200"/>
      <c r="AO292" s="107"/>
      <c r="AP292" s="107"/>
      <c r="AQ292" s="107"/>
      <c r="AR292" s="107">
        <v>45869</v>
      </c>
      <c r="AS292" s="107"/>
      <c r="AT292" s="107"/>
      <c r="AU292" s="218"/>
      <c r="AV292" s="218"/>
      <c r="AW292" s="196"/>
      <c r="AX292" s="107"/>
      <c r="AY292" s="107"/>
      <c r="AZ292" s="107"/>
      <c r="BA292" s="107"/>
      <c r="BB292" s="107"/>
      <c r="BC292" s="107"/>
      <c r="BD292" s="107"/>
      <c r="BE292" s="107"/>
      <c r="BF292" s="107"/>
      <c r="BG292" s="321"/>
      <c r="BH292" s="285" t="s">
        <v>1559</v>
      </c>
    </row>
    <row r="293" spans="1:60" s="61" customFormat="1" ht="18.75" customHeight="1">
      <c r="A293" s="195">
        <v>288</v>
      </c>
      <c r="B293" s="196" t="s">
        <v>629</v>
      </c>
      <c r="C293" s="65" t="s">
        <v>88</v>
      </c>
      <c r="D293" s="65" t="s">
        <v>85</v>
      </c>
      <c r="E293" s="65" t="s">
        <v>692</v>
      </c>
      <c r="F293" s="65" t="s">
        <v>693</v>
      </c>
      <c r="G293" s="110">
        <v>154137</v>
      </c>
      <c r="H293" s="196"/>
      <c r="I293" s="110"/>
      <c r="J293" s="222"/>
      <c r="K293" s="110"/>
      <c r="L293" s="110"/>
      <c r="M293" s="110"/>
      <c r="N293" s="110"/>
      <c r="O293" s="110"/>
      <c r="P293" s="197"/>
      <c r="Q293" s="197"/>
      <c r="R293" s="197"/>
      <c r="S293" s="197"/>
      <c r="T293" s="197"/>
      <c r="U293" s="110"/>
      <c r="V293" s="110"/>
      <c r="W293" s="110"/>
      <c r="X293" s="110"/>
      <c r="Y293" s="110"/>
      <c r="Z293" s="110"/>
      <c r="AA293" s="110"/>
      <c r="AB293" s="110"/>
      <c r="AC293" s="110"/>
      <c r="AD293" s="110"/>
      <c r="AE293" s="110">
        <f t="shared" si="38"/>
        <v>0</v>
      </c>
      <c r="AF293" s="198"/>
      <c r="AG293" s="198"/>
      <c r="AH293" s="199"/>
      <c r="AI293" s="199"/>
      <c r="AJ293" s="196"/>
      <c r="AK293" s="196"/>
      <c r="AL293" s="196"/>
      <c r="AM293" s="200">
        <v>45807</v>
      </c>
      <c r="AN293" s="200"/>
      <c r="AO293" s="107"/>
      <c r="AP293" s="107"/>
      <c r="AQ293" s="107"/>
      <c r="AR293" s="107">
        <v>45895</v>
      </c>
      <c r="AS293" s="107"/>
      <c r="AT293" s="107"/>
      <c r="AU293" s="218"/>
      <c r="AV293" s="218"/>
      <c r="AW293" s="196"/>
      <c r="AX293" s="107"/>
      <c r="AY293" s="107"/>
      <c r="AZ293" s="107"/>
      <c r="BA293" s="107"/>
      <c r="BB293" s="107"/>
      <c r="BC293" s="107"/>
      <c r="BD293" s="107"/>
      <c r="BE293" s="107"/>
      <c r="BF293" s="107"/>
      <c r="BG293" s="321"/>
      <c r="BH293" s="285" t="s">
        <v>1553</v>
      </c>
    </row>
    <row r="294" spans="1:60" s="61" customFormat="1" ht="18.75" customHeight="1">
      <c r="A294" s="195">
        <v>289</v>
      </c>
      <c r="B294" s="196" t="s">
        <v>629</v>
      </c>
      <c r="C294" s="65" t="s">
        <v>88</v>
      </c>
      <c r="D294" s="65" t="s">
        <v>73</v>
      </c>
      <c r="E294" s="65" t="s">
        <v>694</v>
      </c>
      <c r="F294" s="65" t="s">
        <v>695</v>
      </c>
      <c r="G294" s="110">
        <v>9039</v>
      </c>
      <c r="H294" s="196">
        <v>1983</v>
      </c>
      <c r="I294" s="110">
        <v>8</v>
      </c>
      <c r="J294" s="222">
        <v>202</v>
      </c>
      <c r="K294" s="110"/>
      <c r="L294" s="110"/>
      <c r="M294" s="110"/>
      <c r="N294" s="110"/>
      <c r="O294" s="110"/>
      <c r="P294" s="197"/>
      <c r="Q294" s="197"/>
      <c r="R294" s="197"/>
      <c r="S294" s="197"/>
      <c r="T294" s="197"/>
      <c r="U294" s="110"/>
      <c r="V294" s="110"/>
      <c r="W294" s="110"/>
      <c r="X294" s="110"/>
      <c r="Y294" s="110"/>
      <c r="Z294" s="110"/>
      <c r="AA294" s="110"/>
      <c r="AB294" s="110"/>
      <c r="AC294" s="110"/>
      <c r="AD294" s="110"/>
      <c r="AE294" s="110">
        <f t="shared" si="38"/>
        <v>-202</v>
      </c>
      <c r="AF294" s="198">
        <v>1.5229999999999999</v>
      </c>
      <c r="AG294" s="198"/>
      <c r="AH294" s="199">
        <v>202</v>
      </c>
      <c r="AI294" s="199"/>
      <c r="AJ294" s="196"/>
      <c r="AK294" s="196"/>
      <c r="AL294" s="196"/>
      <c r="AM294" s="202">
        <v>45807</v>
      </c>
      <c r="AN294" s="200"/>
      <c r="AO294" s="107"/>
      <c r="AP294" s="107"/>
      <c r="AQ294" s="107"/>
      <c r="AR294" s="107">
        <v>45910</v>
      </c>
      <c r="AS294" s="107"/>
      <c r="AT294" s="107"/>
      <c r="AU294" s="218"/>
      <c r="AV294" s="218"/>
      <c r="AW294" s="196"/>
      <c r="AX294" s="107"/>
      <c r="AY294" s="107"/>
      <c r="AZ294" s="107"/>
      <c r="BA294" s="107"/>
      <c r="BB294" s="107"/>
      <c r="BC294" s="107"/>
      <c r="BD294" s="107"/>
      <c r="BE294" s="107"/>
      <c r="BF294" s="107"/>
      <c r="BG294" s="321"/>
      <c r="BH294" s="285" t="s">
        <v>1556</v>
      </c>
    </row>
    <row r="295" spans="1:60" s="61" customFormat="1" ht="18.75" customHeight="1">
      <c r="A295" s="195">
        <v>290</v>
      </c>
      <c r="B295" s="196" t="s">
        <v>629</v>
      </c>
      <c r="C295" s="65" t="s">
        <v>88</v>
      </c>
      <c r="D295" s="65" t="s">
        <v>73</v>
      </c>
      <c r="E295" s="65" t="s">
        <v>696</v>
      </c>
      <c r="F295" s="65" t="s">
        <v>697</v>
      </c>
      <c r="G295" s="110">
        <v>14521</v>
      </c>
      <c r="H295" s="196">
        <v>1991</v>
      </c>
      <c r="I295" s="110">
        <v>16</v>
      </c>
      <c r="J295" s="222">
        <v>385</v>
      </c>
      <c r="K295" s="110"/>
      <c r="L295" s="110"/>
      <c r="M295" s="110"/>
      <c r="N295" s="110"/>
      <c r="O295" s="110"/>
      <c r="P295" s="197"/>
      <c r="Q295" s="197"/>
      <c r="R295" s="197"/>
      <c r="S295" s="197"/>
      <c r="T295" s="197"/>
      <c r="U295" s="110"/>
      <c r="V295" s="110"/>
      <c r="W295" s="110"/>
      <c r="X295" s="110"/>
      <c r="Y295" s="110"/>
      <c r="Z295" s="110"/>
      <c r="AA295" s="110"/>
      <c r="AB295" s="110"/>
      <c r="AC295" s="110"/>
      <c r="AD295" s="110"/>
      <c r="AE295" s="110">
        <f t="shared" si="38"/>
        <v>-385</v>
      </c>
      <c r="AF295" s="198">
        <v>2.008</v>
      </c>
      <c r="AG295" s="198"/>
      <c r="AH295" s="199">
        <v>385</v>
      </c>
      <c r="AI295" s="199"/>
      <c r="AJ295" s="196"/>
      <c r="AK295" s="196"/>
      <c r="AL295" s="196"/>
      <c r="AM295" s="202">
        <v>45807</v>
      </c>
      <c r="AN295" s="200"/>
      <c r="AO295" s="107"/>
      <c r="AP295" s="107"/>
      <c r="AQ295" s="107"/>
      <c r="AR295" s="107">
        <v>45838</v>
      </c>
      <c r="AS295" s="107"/>
      <c r="AT295" s="107"/>
      <c r="AU295" s="218"/>
      <c r="AV295" s="218"/>
      <c r="AW295" s="196"/>
      <c r="AX295" s="107"/>
      <c r="AY295" s="107"/>
      <c r="AZ295" s="107"/>
      <c r="BA295" s="107"/>
      <c r="BB295" s="107"/>
      <c r="BC295" s="107"/>
      <c r="BD295" s="107"/>
      <c r="BE295" s="107"/>
      <c r="BF295" s="107"/>
      <c r="BG295" s="321"/>
      <c r="BH295" s="285" t="s">
        <v>1556</v>
      </c>
    </row>
    <row r="296" spans="1:60" s="61" customFormat="1" ht="20.100000000000001" customHeight="1">
      <c r="A296" s="195">
        <v>291</v>
      </c>
      <c r="B296" s="196" t="s">
        <v>629</v>
      </c>
      <c r="C296" s="65" t="s">
        <v>64</v>
      </c>
      <c r="D296" s="65" t="s">
        <v>85</v>
      </c>
      <c r="E296" s="65" t="s">
        <v>698</v>
      </c>
      <c r="F296" s="65" t="s">
        <v>699</v>
      </c>
      <c r="G296" s="110">
        <v>91267</v>
      </c>
      <c r="H296" s="196"/>
      <c r="I296" s="110">
        <v>315</v>
      </c>
      <c r="J296" s="110">
        <v>1329</v>
      </c>
      <c r="K296" s="110"/>
      <c r="L296" s="110"/>
      <c r="M296" s="110"/>
      <c r="N296" s="110"/>
      <c r="O296" s="110"/>
      <c r="P296" s="197">
        <v>1850</v>
      </c>
      <c r="Q296" s="197">
        <v>1374</v>
      </c>
      <c r="R296" s="197">
        <v>250</v>
      </c>
      <c r="S296" s="197">
        <v>226</v>
      </c>
      <c r="T296" s="197">
        <f t="shared" ref="T296:T327" si="39">U296+AA296</f>
        <v>1850</v>
      </c>
      <c r="U296" s="110">
        <v>1624</v>
      </c>
      <c r="V296" s="110"/>
      <c r="W296" s="110"/>
      <c r="X296" s="110"/>
      <c r="Y296" s="110"/>
      <c r="Z296" s="110"/>
      <c r="AA296" s="110">
        <v>226</v>
      </c>
      <c r="AB296" s="110"/>
      <c r="AC296" s="110"/>
      <c r="AD296" s="110"/>
      <c r="AE296" s="110">
        <f t="shared" si="38"/>
        <v>521</v>
      </c>
      <c r="AF296" s="224">
        <v>1.3026</v>
      </c>
      <c r="AG296" s="198">
        <v>3</v>
      </c>
      <c r="AH296" s="199">
        <v>1370</v>
      </c>
      <c r="AI296" s="199">
        <v>1374</v>
      </c>
      <c r="AJ296" s="196" t="s">
        <v>92</v>
      </c>
      <c r="AK296" s="196"/>
      <c r="AL296" s="196"/>
      <c r="AM296" s="202">
        <v>43899</v>
      </c>
      <c r="AN296" s="202"/>
      <c r="AO296" s="108">
        <v>44742</v>
      </c>
      <c r="AP296" s="107">
        <v>44742</v>
      </c>
      <c r="AQ296" s="107">
        <v>45539</v>
      </c>
      <c r="AR296" s="107">
        <v>44791</v>
      </c>
      <c r="AS296" s="108">
        <v>44791</v>
      </c>
      <c r="AT296" s="108"/>
      <c r="AU296" s="218"/>
      <c r="AV296" s="218" t="s">
        <v>70</v>
      </c>
      <c r="AW296" s="196" t="s">
        <v>70</v>
      </c>
      <c r="AX296" s="107"/>
      <c r="AY296" s="108">
        <v>45054</v>
      </c>
      <c r="AZ296" s="107"/>
      <c r="BA296" s="107"/>
      <c r="BB296" s="107"/>
      <c r="BC296" s="107"/>
      <c r="BD296" s="107"/>
      <c r="BE296" s="107"/>
      <c r="BF296" s="107"/>
      <c r="BG296" s="321"/>
      <c r="BH296" s="285" t="s">
        <v>1558</v>
      </c>
    </row>
    <row r="297" spans="1:60" s="61" customFormat="1" ht="20.100000000000001" customHeight="1">
      <c r="A297" s="195">
        <v>292</v>
      </c>
      <c r="B297" s="196" t="s">
        <v>629</v>
      </c>
      <c r="C297" s="65" t="s">
        <v>64</v>
      </c>
      <c r="D297" s="65" t="s">
        <v>85</v>
      </c>
      <c r="E297" s="220" t="s">
        <v>700</v>
      </c>
      <c r="F297" s="65" t="s">
        <v>701</v>
      </c>
      <c r="G297" s="110">
        <v>64375</v>
      </c>
      <c r="H297" s="196"/>
      <c r="I297" s="110">
        <v>219</v>
      </c>
      <c r="J297" s="110">
        <v>910</v>
      </c>
      <c r="K297" s="110"/>
      <c r="L297" s="110"/>
      <c r="M297" s="110"/>
      <c r="N297" s="110"/>
      <c r="O297" s="110"/>
      <c r="P297" s="197">
        <v>1286</v>
      </c>
      <c r="Q297" s="197"/>
      <c r="R297" s="197">
        <v>1132</v>
      </c>
      <c r="S297" s="197">
        <v>154</v>
      </c>
      <c r="T297" s="197">
        <f t="shared" si="39"/>
        <v>1440</v>
      </c>
      <c r="U297" s="197">
        <v>1286</v>
      </c>
      <c r="V297" s="110"/>
      <c r="W297" s="110"/>
      <c r="X297" s="110"/>
      <c r="Y297" s="110"/>
      <c r="Z297" s="110"/>
      <c r="AA297" s="110">
        <v>154</v>
      </c>
      <c r="AB297" s="110"/>
      <c r="AC297" s="110"/>
      <c r="AD297" s="110"/>
      <c r="AE297" s="110">
        <f t="shared" si="38"/>
        <v>530</v>
      </c>
      <c r="AF297" s="224">
        <v>1.1558999999999999</v>
      </c>
      <c r="AG297" s="198">
        <v>3</v>
      </c>
      <c r="AH297" s="199">
        <v>911</v>
      </c>
      <c r="AI297" s="199">
        <v>908</v>
      </c>
      <c r="AJ297" s="196" t="s">
        <v>92</v>
      </c>
      <c r="AK297" s="196">
        <v>2022</v>
      </c>
      <c r="AL297" s="196">
        <v>2033</v>
      </c>
      <c r="AM297" s="202">
        <v>43899</v>
      </c>
      <c r="AN297" s="202">
        <v>44704</v>
      </c>
      <c r="AO297" s="108">
        <v>44704</v>
      </c>
      <c r="AP297" s="107">
        <v>44704</v>
      </c>
      <c r="AQ297" s="107">
        <v>46092</v>
      </c>
      <c r="AR297" s="107">
        <v>44763</v>
      </c>
      <c r="AS297" s="108">
        <v>44763</v>
      </c>
      <c r="AT297" s="108"/>
      <c r="AU297" s="218"/>
      <c r="AV297" s="218" t="s">
        <v>70</v>
      </c>
      <c r="AW297" s="196" t="s">
        <v>70</v>
      </c>
      <c r="AX297" s="107"/>
      <c r="AY297" s="108">
        <v>45154</v>
      </c>
      <c r="AZ297" s="107"/>
      <c r="BA297" s="107"/>
      <c r="BB297" s="107"/>
      <c r="BC297" s="107"/>
      <c r="BD297" s="107"/>
      <c r="BE297" s="107"/>
      <c r="BF297" s="107"/>
      <c r="BG297" s="321"/>
      <c r="BH297" s="285" t="s">
        <v>1557</v>
      </c>
    </row>
    <row r="298" spans="1:60" s="61" customFormat="1" ht="20.100000000000001" customHeight="1">
      <c r="A298" s="195">
        <v>293</v>
      </c>
      <c r="B298" s="196" t="s">
        <v>629</v>
      </c>
      <c r="C298" s="65" t="s">
        <v>65</v>
      </c>
      <c r="D298" s="65" t="s">
        <v>73</v>
      </c>
      <c r="E298" s="65" t="s">
        <v>702</v>
      </c>
      <c r="F298" s="65" t="s">
        <v>703</v>
      </c>
      <c r="G298" s="110">
        <v>62557</v>
      </c>
      <c r="H298" s="196">
        <v>1985</v>
      </c>
      <c r="I298" s="110">
        <v>12</v>
      </c>
      <c r="J298" s="110">
        <f>SUM(K298:O298)</f>
        <v>904</v>
      </c>
      <c r="K298" s="110"/>
      <c r="L298" s="110"/>
      <c r="M298" s="110">
        <v>456</v>
      </c>
      <c r="N298" s="110">
        <v>280</v>
      </c>
      <c r="O298" s="110">
        <v>168</v>
      </c>
      <c r="P298" s="197">
        <v>1294</v>
      </c>
      <c r="Q298" s="197">
        <v>963</v>
      </c>
      <c r="R298" s="197">
        <v>299</v>
      </c>
      <c r="S298" s="197">
        <v>32</v>
      </c>
      <c r="T298" s="197">
        <f t="shared" si="39"/>
        <v>1305</v>
      </c>
      <c r="U298" s="110">
        <v>1305</v>
      </c>
      <c r="V298" s="110"/>
      <c r="W298" s="110"/>
      <c r="X298" s="110"/>
      <c r="Y298" s="110"/>
      <c r="Z298" s="110"/>
      <c r="AA298" s="110"/>
      <c r="AB298" s="110"/>
      <c r="AC298" s="110"/>
      <c r="AD298" s="110"/>
      <c r="AE298" s="110">
        <f t="shared" si="38"/>
        <v>401</v>
      </c>
      <c r="AF298" s="198">
        <v>1.86</v>
      </c>
      <c r="AG298" s="198">
        <v>2.996</v>
      </c>
      <c r="AH298" s="199">
        <v>976</v>
      </c>
      <c r="AI298" s="199">
        <v>956</v>
      </c>
      <c r="AJ298" s="65" t="s">
        <v>92</v>
      </c>
      <c r="AK298" s="196">
        <v>2020</v>
      </c>
      <c r="AL298" s="196"/>
      <c r="AM298" s="200">
        <v>43076</v>
      </c>
      <c r="AN298" s="202">
        <v>44096</v>
      </c>
      <c r="AO298" s="108">
        <v>44096</v>
      </c>
      <c r="AP298" s="107">
        <v>44096</v>
      </c>
      <c r="AQ298" s="107">
        <v>45751</v>
      </c>
      <c r="AR298" s="107">
        <v>44146</v>
      </c>
      <c r="AS298" s="107">
        <v>42829</v>
      </c>
      <c r="AT298" s="107"/>
      <c r="AU298" s="218">
        <v>43332</v>
      </c>
      <c r="AV298" s="218" t="s">
        <v>82</v>
      </c>
      <c r="AW298" s="196" t="s">
        <v>70</v>
      </c>
      <c r="AX298" s="107"/>
      <c r="AY298" s="108">
        <v>44397</v>
      </c>
      <c r="AZ298" s="107">
        <v>46015</v>
      </c>
      <c r="BA298" s="107"/>
      <c r="BB298" s="107"/>
      <c r="BC298" s="107"/>
      <c r="BD298" s="107"/>
      <c r="BE298" s="107"/>
      <c r="BF298" s="107"/>
      <c r="BG298" s="321"/>
      <c r="BH298" s="285" t="s">
        <v>1556</v>
      </c>
    </row>
    <row r="299" spans="1:60" s="61" customFormat="1" ht="15.75" customHeight="1">
      <c r="A299" s="195">
        <v>294</v>
      </c>
      <c r="B299" s="196" t="s">
        <v>629</v>
      </c>
      <c r="C299" s="65" t="s">
        <v>66</v>
      </c>
      <c r="D299" s="65" t="s">
        <v>73</v>
      </c>
      <c r="E299" s="65" t="s">
        <v>704</v>
      </c>
      <c r="F299" s="219" t="s">
        <v>705</v>
      </c>
      <c r="G299" s="110">
        <v>8497.4</v>
      </c>
      <c r="H299" s="196">
        <v>1981</v>
      </c>
      <c r="I299" s="110">
        <v>7</v>
      </c>
      <c r="J299" s="110">
        <v>251</v>
      </c>
      <c r="K299" s="110"/>
      <c r="L299" s="110">
        <v>250</v>
      </c>
      <c r="M299" s="110"/>
      <c r="N299" s="110"/>
      <c r="O299" s="217" t="s">
        <v>706</v>
      </c>
      <c r="P299" s="197">
        <v>271</v>
      </c>
      <c r="Q299" s="197">
        <v>210</v>
      </c>
      <c r="R299" s="197">
        <v>61</v>
      </c>
      <c r="S299" s="197"/>
      <c r="T299" s="197">
        <f t="shared" si="39"/>
        <v>271</v>
      </c>
      <c r="U299" s="110">
        <v>271</v>
      </c>
      <c r="V299" s="110">
        <v>19</v>
      </c>
      <c r="W299" s="110">
        <v>42</v>
      </c>
      <c r="X299" s="110">
        <v>210</v>
      </c>
      <c r="Y299" s="110"/>
      <c r="Z299" s="110"/>
      <c r="AA299" s="110"/>
      <c r="AB299" s="110"/>
      <c r="AC299" s="110"/>
      <c r="AD299" s="110"/>
      <c r="AE299" s="110">
        <f t="shared" si="38"/>
        <v>20</v>
      </c>
      <c r="AF299" s="212" t="s">
        <v>707</v>
      </c>
      <c r="AG299" s="205">
        <v>2.7</v>
      </c>
      <c r="AH299" s="199">
        <v>194</v>
      </c>
      <c r="AI299" s="199">
        <v>194</v>
      </c>
      <c r="AJ299" s="196" t="s">
        <v>92</v>
      </c>
      <c r="AK299" s="226">
        <v>2020</v>
      </c>
      <c r="AL299" s="226">
        <v>2026</v>
      </c>
      <c r="AM299" s="202">
        <v>43715</v>
      </c>
      <c r="AN299" s="200"/>
      <c r="AO299" s="107"/>
      <c r="AP299" s="107"/>
      <c r="AQ299" s="107"/>
      <c r="AR299" s="107">
        <v>40672</v>
      </c>
      <c r="AS299" s="107"/>
      <c r="AT299" s="107"/>
      <c r="AU299" s="218">
        <v>37671</v>
      </c>
      <c r="AV299" s="218" t="s">
        <v>82</v>
      </c>
      <c r="AW299" s="204" t="s">
        <v>70</v>
      </c>
      <c r="AX299" s="108"/>
      <c r="AY299" s="108">
        <v>41358</v>
      </c>
      <c r="AZ299" s="108">
        <v>44056</v>
      </c>
      <c r="BA299" s="107">
        <v>44630</v>
      </c>
      <c r="BB299" s="107"/>
      <c r="BC299" s="107"/>
      <c r="BD299" s="107"/>
      <c r="BE299" s="107"/>
      <c r="BF299" s="107"/>
      <c r="BG299" s="321"/>
      <c r="BH299" s="285" t="s">
        <v>1556</v>
      </c>
    </row>
    <row r="300" spans="1:60" s="61" customFormat="1" ht="15.75" customHeight="1">
      <c r="A300" s="195">
        <v>295</v>
      </c>
      <c r="B300" s="196" t="s">
        <v>629</v>
      </c>
      <c r="C300" s="65" t="s">
        <v>66</v>
      </c>
      <c r="D300" s="65" t="s">
        <v>73</v>
      </c>
      <c r="E300" s="65" t="s">
        <v>708</v>
      </c>
      <c r="F300" s="65" t="s">
        <v>709</v>
      </c>
      <c r="G300" s="110">
        <v>28377</v>
      </c>
      <c r="H300" s="196" t="s">
        <v>710</v>
      </c>
      <c r="I300" s="110">
        <v>8</v>
      </c>
      <c r="J300" s="110">
        <f>SUM(K300:O300)</f>
        <v>576</v>
      </c>
      <c r="K300" s="110"/>
      <c r="L300" s="110"/>
      <c r="M300" s="110">
        <v>72</v>
      </c>
      <c r="N300" s="110">
        <v>504</v>
      </c>
      <c r="O300" s="110"/>
      <c r="P300" s="197">
        <v>702</v>
      </c>
      <c r="Q300" s="197">
        <v>566</v>
      </c>
      <c r="R300" s="197">
        <v>115</v>
      </c>
      <c r="S300" s="197">
        <v>21</v>
      </c>
      <c r="T300" s="197">
        <f t="shared" si="39"/>
        <v>702</v>
      </c>
      <c r="U300" s="110">
        <v>681</v>
      </c>
      <c r="V300" s="110"/>
      <c r="W300" s="110"/>
      <c r="X300" s="110"/>
      <c r="Y300" s="110"/>
      <c r="Z300" s="110"/>
      <c r="AA300" s="110">
        <v>21</v>
      </c>
      <c r="AB300" s="110"/>
      <c r="AC300" s="110">
        <v>21</v>
      </c>
      <c r="AD300" s="110"/>
      <c r="AE300" s="110">
        <f t="shared" si="38"/>
        <v>126</v>
      </c>
      <c r="AF300" s="198">
        <v>2.5499999999999998</v>
      </c>
      <c r="AG300" s="198">
        <v>3</v>
      </c>
      <c r="AH300" s="199">
        <v>565</v>
      </c>
      <c r="AI300" s="199">
        <v>577</v>
      </c>
      <c r="AJ300" s="196" t="s">
        <v>92</v>
      </c>
      <c r="AK300" s="196" t="s">
        <v>711</v>
      </c>
      <c r="AL300" s="196">
        <v>2025</v>
      </c>
      <c r="AM300" s="200">
        <v>38936</v>
      </c>
      <c r="AN300" s="202" t="s">
        <v>563</v>
      </c>
      <c r="AO300" s="107">
        <v>40938</v>
      </c>
      <c r="AP300" s="107">
        <v>41100</v>
      </c>
      <c r="AQ300" s="107">
        <v>44181</v>
      </c>
      <c r="AR300" s="107">
        <v>37902</v>
      </c>
      <c r="AS300" s="107">
        <v>36872</v>
      </c>
      <c r="AT300" s="107"/>
      <c r="AU300" s="218">
        <v>36943</v>
      </c>
      <c r="AV300" s="218" t="s">
        <v>70</v>
      </c>
      <c r="AW300" s="204" t="s">
        <v>70</v>
      </c>
      <c r="AX300" s="107"/>
      <c r="AY300" s="107">
        <v>42655</v>
      </c>
      <c r="AZ300" s="107">
        <v>44343</v>
      </c>
      <c r="BA300" s="107">
        <v>44861</v>
      </c>
      <c r="BB300" s="107"/>
      <c r="BC300" s="107"/>
      <c r="BD300" s="107"/>
      <c r="BE300" s="107"/>
      <c r="BF300" s="107"/>
      <c r="BG300" s="321"/>
      <c r="BH300" s="285" t="s">
        <v>1556</v>
      </c>
    </row>
    <row r="301" spans="1:60" s="61" customFormat="1" ht="20.100000000000001" customHeight="1">
      <c r="A301" s="195">
        <v>296</v>
      </c>
      <c r="B301" s="196" t="s">
        <v>629</v>
      </c>
      <c r="C301" s="65" t="s">
        <v>67</v>
      </c>
      <c r="D301" s="65" t="s">
        <v>85</v>
      </c>
      <c r="E301" s="65" t="s">
        <v>712</v>
      </c>
      <c r="F301" s="65" t="s">
        <v>713</v>
      </c>
      <c r="G301" s="110">
        <v>69912</v>
      </c>
      <c r="H301" s="196" t="s">
        <v>714</v>
      </c>
      <c r="I301" s="110">
        <v>350</v>
      </c>
      <c r="J301" s="110">
        <f>SUM(K301:O301)</f>
        <v>1103</v>
      </c>
      <c r="K301" s="110">
        <v>549</v>
      </c>
      <c r="L301" s="110">
        <v>270</v>
      </c>
      <c r="M301" s="110">
        <v>221</v>
      </c>
      <c r="N301" s="110">
        <v>42</v>
      </c>
      <c r="O301" s="110">
        <v>21</v>
      </c>
      <c r="P301" s="197">
        <v>1716</v>
      </c>
      <c r="Q301" s="197">
        <v>794</v>
      </c>
      <c r="R301" s="197">
        <v>630</v>
      </c>
      <c r="S301" s="197">
        <v>292</v>
      </c>
      <c r="T301" s="197">
        <f t="shared" si="39"/>
        <v>1716</v>
      </c>
      <c r="U301" s="110">
        <v>1424</v>
      </c>
      <c r="V301" s="110">
        <v>3</v>
      </c>
      <c r="W301" s="110">
        <v>687</v>
      </c>
      <c r="X301" s="110">
        <v>627</v>
      </c>
      <c r="Y301" s="110">
        <v>107</v>
      </c>
      <c r="Z301" s="110"/>
      <c r="AA301" s="110">
        <v>292</v>
      </c>
      <c r="AB301" s="110">
        <v>289</v>
      </c>
      <c r="AC301" s="110">
        <v>3</v>
      </c>
      <c r="AD301" s="110"/>
      <c r="AE301" s="110">
        <f t="shared" si="38"/>
        <v>613</v>
      </c>
      <c r="AF301" s="198" t="s">
        <v>426</v>
      </c>
      <c r="AG301" s="198">
        <v>2.8791000000000002</v>
      </c>
      <c r="AH301" s="199">
        <v>739</v>
      </c>
      <c r="AI301" s="199">
        <v>681</v>
      </c>
      <c r="AJ301" s="196" t="s">
        <v>92</v>
      </c>
      <c r="AK301" s="196" t="s">
        <v>715</v>
      </c>
      <c r="AL301" s="196">
        <v>2029</v>
      </c>
      <c r="AM301" s="200">
        <v>38936</v>
      </c>
      <c r="AN301" s="202" t="s">
        <v>563</v>
      </c>
      <c r="AO301" s="200">
        <v>39661</v>
      </c>
      <c r="AP301" s="107">
        <v>39790</v>
      </c>
      <c r="AQ301" s="107">
        <v>45909</v>
      </c>
      <c r="AR301" s="107">
        <v>38945</v>
      </c>
      <c r="AS301" s="107"/>
      <c r="AT301" s="108" t="s">
        <v>716</v>
      </c>
      <c r="AU301" s="218"/>
      <c r="AV301" s="218" t="s">
        <v>70</v>
      </c>
      <c r="AW301" s="204" t="s">
        <v>70</v>
      </c>
      <c r="AX301" s="107"/>
      <c r="AY301" s="107">
        <v>39952</v>
      </c>
      <c r="AZ301" s="107">
        <v>44375</v>
      </c>
      <c r="BA301" s="108">
        <v>44558</v>
      </c>
      <c r="BB301" s="108">
        <v>45975</v>
      </c>
      <c r="BC301" s="108">
        <v>45982</v>
      </c>
      <c r="BD301" s="107"/>
      <c r="BE301" s="107"/>
      <c r="BF301" s="107"/>
      <c r="BG301" s="321"/>
      <c r="BH301" s="285" t="s">
        <v>1553</v>
      </c>
    </row>
    <row r="302" spans="1:60" s="61" customFormat="1" ht="15.75" customHeight="1">
      <c r="A302" s="195">
        <v>297</v>
      </c>
      <c r="B302" s="196" t="s">
        <v>629</v>
      </c>
      <c r="C302" s="65" t="s">
        <v>67</v>
      </c>
      <c r="D302" s="65" t="s">
        <v>73</v>
      </c>
      <c r="E302" s="65" t="s">
        <v>717</v>
      </c>
      <c r="F302" s="65" t="s">
        <v>718</v>
      </c>
      <c r="G302" s="110">
        <v>19457</v>
      </c>
      <c r="H302" s="196" t="s">
        <v>719</v>
      </c>
      <c r="I302" s="110">
        <v>11</v>
      </c>
      <c r="J302" s="110">
        <f>SUM(K302:O302)</f>
        <v>370</v>
      </c>
      <c r="K302" s="110"/>
      <c r="L302" s="110"/>
      <c r="M302" s="110">
        <v>370</v>
      </c>
      <c r="N302" s="110"/>
      <c r="O302" s="110"/>
      <c r="P302" s="197">
        <v>507</v>
      </c>
      <c r="Q302" s="197">
        <v>368</v>
      </c>
      <c r="R302" s="197">
        <v>137</v>
      </c>
      <c r="S302" s="197">
        <v>0</v>
      </c>
      <c r="T302" s="197">
        <f t="shared" si="39"/>
        <v>507</v>
      </c>
      <c r="U302" s="110">
        <v>507</v>
      </c>
      <c r="V302" s="110"/>
      <c r="W302" s="110">
        <v>311</v>
      </c>
      <c r="X302" s="110">
        <v>196</v>
      </c>
      <c r="Y302" s="110"/>
      <c r="Z302" s="110"/>
      <c r="AA302" s="110"/>
      <c r="AB302" s="110"/>
      <c r="AC302" s="110"/>
      <c r="AD302" s="110"/>
      <c r="AE302" s="110">
        <f t="shared" si="38"/>
        <v>137</v>
      </c>
      <c r="AF302" s="198">
        <v>1.48</v>
      </c>
      <c r="AG302" s="198">
        <v>2.7</v>
      </c>
      <c r="AH302" s="199">
        <v>375</v>
      </c>
      <c r="AI302" s="199">
        <v>374</v>
      </c>
      <c r="AJ302" s="196" t="s">
        <v>92</v>
      </c>
      <c r="AK302" s="196" t="s">
        <v>720</v>
      </c>
      <c r="AL302" s="196">
        <v>2023</v>
      </c>
      <c r="AM302" s="200">
        <v>40325</v>
      </c>
      <c r="AN302" s="202">
        <v>41274</v>
      </c>
      <c r="AO302" s="107">
        <v>41929</v>
      </c>
      <c r="AP302" s="107">
        <v>42095</v>
      </c>
      <c r="AQ302" s="107">
        <v>43966</v>
      </c>
      <c r="AR302" s="107">
        <v>42453</v>
      </c>
      <c r="AS302" s="107">
        <v>41292</v>
      </c>
      <c r="AT302" s="107"/>
      <c r="AU302" s="218">
        <v>41422</v>
      </c>
      <c r="AV302" s="218" t="s">
        <v>70</v>
      </c>
      <c r="AW302" s="204" t="s">
        <v>70</v>
      </c>
      <c r="AX302" s="107"/>
      <c r="AY302" s="107">
        <v>43581</v>
      </c>
      <c r="AZ302" s="108">
        <v>44299</v>
      </c>
      <c r="BA302" s="108">
        <v>45017</v>
      </c>
      <c r="BB302" s="107">
        <v>45763</v>
      </c>
      <c r="BC302" s="107">
        <v>45828</v>
      </c>
      <c r="BD302" s="107"/>
      <c r="BE302" s="107"/>
      <c r="BF302" s="107"/>
      <c r="BG302" s="321"/>
      <c r="BH302" s="285" t="s">
        <v>1554</v>
      </c>
    </row>
    <row r="303" spans="1:60" s="61" customFormat="1" ht="20.100000000000001" customHeight="1">
      <c r="A303" s="195">
        <v>298</v>
      </c>
      <c r="B303" s="196" t="s">
        <v>629</v>
      </c>
      <c r="C303" s="65" t="s">
        <v>67</v>
      </c>
      <c r="D303" s="65" t="s">
        <v>85</v>
      </c>
      <c r="E303" s="65" t="s">
        <v>721</v>
      </c>
      <c r="F303" s="65" t="s">
        <v>722</v>
      </c>
      <c r="G303" s="110">
        <v>27385</v>
      </c>
      <c r="H303" s="196" t="s">
        <v>723</v>
      </c>
      <c r="I303" s="110">
        <v>84</v>
      </c>
      <c r="J303" s="110">
        <f>SUM(K303:O303)</f>
        <v>449</v>
      </c>
      <c r="K303" s="110">
        <v>89</v>
      </c>
      <c r="L303" s="110">
        <v>268</v>
      </c>
      <c r="M303" s="110">
        <v>69</v>
      </c>
      <c r="N303" s="110">
        <v>19</v>
      </c>
      <c r="O303" s="110">
        <v>4</v>
      </c>
      <c r="P303" s="197">
        <v>853</v>
      </c>
      <c r="Q303" s="197">
        <v>412</v>
      </c>
      <c r="R303" s="197">
        <v>407</v>
      </c>
      <c r="S303" s="197">
        <v>34</v>
      </c>
      <c r="T303" s="197">
        <f t="shared" si="39"/>
        <v>853</v>
      </c>
      <c r="U303" s="110">
        <v>819</v>
      </c>
      <c r="V303" s="110">
        <v>14</v>
      </c>
      <c r="W303" s="110">
        <v>595</v>
      </c>
      <c r="X303" s="110">
        <v>210</v>
      </c>
      <c r="Y303" s="110"/>
      <c r="Z303" s="110"/>
      <c r="AA303" s="110">
        <v>34</v>
      </c>
      <c r="AB303" s="110">
        <v>34</v>
      </c>
      <c r="AC303" s="110"/>
      <c r="AD303" s="110"/>
      <c r="AE303" s="110">
        <f t="shared" si="38"/>
        <v>404</v>
      </c>
      <c r="AF303" s="198" t="s">
        <v>426</v>
      </c>
      <c r="AG303" s="198">
        <v>4.3499999999999996</v>
      </c>
      <c r="AH303" s="199">
        <v>449</v>
      </c>
      <c r="AI303" s="199">
        <v>413</v>
      </c>
      <c r="AJ303" s="196" t="s">
        <v>92</v>
      </c>
      <c r="AK303" s="196" t="s">
        <v>720</v>
      </c>
      <c r="AL303" s="196">
        <v>2028</v>
      </c>
      <c r="AM303" s="200">
        <v>41933</v>
      </c>
      <c r="AN303" s="200"/>
      <c r="AO303" s="107">
        <v>42160</v>
      </c>
      <c r="AP303" s="107">
        <v>42223</v>
      </c>
      <c r="AQ303" s="107">
        <v>43061</v>
      </c>
      <c r="AR303" s="107">
        <v>42377</v>
      </c>
      <c r="AS303" s="107"/>
      <c r="AT303" s="107"/>
      <c r="AU303" s="218"/>
      <c r="AV303" s="218" t="s">
        <v>70</v>
      </c>
      <c r="AW303" s="204" t="s">
        <v>70</v>
      </c>
      <c r="AX303" s="107"/>
      <c r="AY303" s="107">
        <v>42731</v>
      </c>
      <c r="AZ303" s="107">
        <v>43865</v>
      </c>
      <c r="BA303" s="107">
        <v>44456</v>
      </c>
      <c r="BB303" s="107">
        <v>45835</v>
      </c>
      <c r="BC303" s="107">
        <v>46045</v>
      </c>
      <c r="BD303" s="209"/>
      <c r="BE303" s="107"/>
      <c r="BF303" s="107"/>
      <c r="BG303" s="321"/>
      <c r="BH303" s="285" t="s">
        <v>1559</v>
      </c>
    </row>
    <row r="304" spans="1:60" s="61" customFormat="1" ht="20.100000000000001" customHeight="1">
      <c r="A304" s="195">
        <v>299</v>
      </c>
      <c r="B304" s="196" t="s">
        <v>629</v>
      </c>
      <c r="C304" s="65" t="s">
        <v>67</v>
      </c>
      <c r="D304" s="65" t="s">
        <v>73</v>
      </c>
      <c r="E304" s="65" t="s">
        <v>724</v>
      </c>
      <c r="F304" s="65" t="s">
        <v>725</v>
      </c>
      <c r="G304" s="110">
        <v>123298</v>
      </c>
      <c r="H304" s="196" t="s">
        <v>726</v>
      </c>
      <c r="I304" s="110">
        <v>18</v>
      </c>
      <c r="J304" s="110">
        <f>SUM(K304:O304)</f>
        <v>2052</v>
      </c>
      <c r="K304" s="110"/>
      <c r="L304" s="110"/>
      <c r="M304" s="110">
        <v>731</v>
      </c>
      <c r="N304" s="110">
        <v>997</v>
      </c>
      <c r="O304" s="110">
        <v>324</v>
      </c>
      <c r="P304" s="197">
        <v>2737</v>
      </c>
      <c r="Q304" s="197">
        <v>2045</v>
      </c>
      <c r="R304" s="197">
        <v>581</v>
      </c>
      <c r="S304" s="197">
        <v>111</v>
      </c>
      <c r="T304" s="197">
        <f t="shared" si="39"/>
        <v>2848</v>
      </c>
      <c r="U304" s="110">
        <v>2737</v>
      </c>
      <c r="V304" s="110"/>
      <c r="W304" s="110">
        <v>736</v>
      </c>
      <c r="X304" s="110">
        <v>1637</v>
      </c>
      <c r="Y304" s="110">
        <v>364</v>
      </c>
      <c r="Z304" s="110"/>
      <c r="AA304" s="110">
        <v>111</v>
      </c>
      <c r="AB304" s="110"/>
      <c r="AC304" s="110">
        <v>111</v>
      </c>
      <c r="AD304" s="110"/>
      <c r="AE304" s="110">
        <f t="shared" si="38"/>
        <v>796</v>
      </c>
      <c r="AF304" s="198" t="s">
        <v>727</v>
      </c>
      <c r="AG304" s="198">
        <v>3</v>
      </c>
      <c r="AH304" s="199">
        <v>2007</v>
      </c>
      <c r="AI304" s="199">
        <v>1992</v>
      </c>
      <c r="AJ304" s="196" t="s">
        <v>92</v>
      </c>
      <c r="AK304" s="196" t="s">
        <v>711</v>
      </c>
      <c r="AL304" s="196">
        <v>2027</v>
      </c>
      <c r="AM304" s="200">
        <v>38936</v>
      </c>
      <c r="AN304" s="202" t="s">
        <v>563</v>
      </c>
      <c r="AO304" s="107">
        <v>40884</v>
      </c>
      <c r="AP304" s="107">
        <v>41071</v>
      </c>
      <c r="AQ304" s="107">
        <v>44706</v>
      </c>
      <c r="AR304" s="107">
        <v>41235</v>
      </c>
      <c r="AS304" s="107">
        <v>40277</v>
      </c>
      <c r="AT304" s="107"/>
      <c r="AU304" s="218">
        <v>40570</v>
      </c>
      <c r="AV304" s="218" t="s">
        <v>82</v>
      </c>
      <c r="AW304" s="204" t="s">
        <v>70</v>
      </c>
      <c r="AX304" s="107"/>
      <c r="AY304" s="107">
        <v>42494</v>
      </c>
      <c r="AZ304" s="108">
        <v>43844</v>
      </c>
      <c r="BA304" s="108">
        <v>44236</v>
      </c>
      <c r="BB304" s="107">
        <v>45533</v>
      </c>
      <c r="BC304" s="107">
        <v>45610</v>
      </c>
      <c r="BD304" s="107"/>
      <c r="BE304" s="107"/>
      <c r="BF304" s="107"/>
      <c r="BG304" s="321"/>
      <c r="BH304" s="285" t="s">
        <v>1551</v>
      </c>
    </row>
    <row r="305" spans="1:60" s="61" customFormat="1" ht="20.100000000000001" customHeight="1">
      <c r="A305" s="195">
        <v>300</v>
      </c>
      <c r="B305" s="196" t="s">
        <v>629</v>
      </c>
      <c r="C305" s="65" t="s">
        <v>67</v>
      </c>
      <c r="D305" s="65" t="s">
        <v>85</v>
      </c>
      <c r="E305" s="65" t="s">
        <v>728</v>
      </c>
      <c r="F305" s="65" t="s">
        <v>729</v>
      </c>
      <c r="G305" s="110">
        <v>22670.2</v>
      </c>
      <c r="H305" s="196" t="s">
        <v>730</v>
      </c>
      <c r="I305" s="110">
        <v>83</v>
      </c>
      <c r="J305" s="110">
        <v>359</v>
      </c>
      <c r="K305" s="110">
        <v>180</v>
      </c>
      <c r="L305" s="110">
        <v>108</v>
      </c>
      <c r="M305" s="110">
        <v>51</v>
      </c>
      <c r="N305" s="110">
        <v>11</v>
      </c>
      <c r="O305" s="110">
        <v>9</v>
      </c>
      <c r="P305" s="197">
        <v>483</v>
      </c>
      <c r="Q305" s="197">
        <v>227</v>
      </c>
      <c r="R305" s="197">
        <v>216</v>
      </c>
      <c r="S305" s="197">
        <v>40</v>
      </c>
      <c r="T305" s="197">
        <f t="shared" si="39"/>
        <v>483</v>
      </c>
      <c r="U305" s="110">
        <v>443</v>
      </c>
      <c r="V305" s="110"/>
      <c r="W305" s="110">
        <v>339</v>
      </c>
      <c r="X305" s="110">
        <v>104</v>
      </c>
      <c r="Y305" s="110"/>
      <c r="Z305" s="110"/>
      <c r="AA305" s="110">
        <v>40</v>
      </c>
      <c r="AB305" s="110">
        <v>40</v>
      </c>
      <c r="AC305" s="110"/>
      <c r="AD305" s="110"/>
      <c r="AE305" s="110">
        <f t="shared" si="38"/>
        <v>124</v>
      </c>
      <c r="AF305" s="198" t="s">
        <v>426</v>
      </c>
      <c r="AG305" s="198">
        <v>2.42</v>
      </c>
      <c r="AH305" s="199">
        <v>225</v>
      </c>
      <c r="AI305" s="199">
        <v>201</v>
      </c>
      <c r="AJ305" s="196" t="s">
        <v>92</v>
      </c>
      <c r="AK305" s="196" t="s">
        <v>731</v>
      </c>
      <c r="AL305" s="196">
        <v>2026</v>
      </c>
      <c r="AM305" s="200">
        <v>38936</v>
      </c>
      <c r="AN305" s="202" t="s">
        <v>563</v>
      </c>
      <c r="AO305" s="200">
        <v>39993</v>
      </c>
      <c r="AP305" s="107">
        <v>40176</v>
      </c>
      <c r="AQ305" s="107">
        <v>45264</v>
      </c>
      <c r="AR305" s="107">
        <v>38945</v>
      </c>
      <c r="AS305" s="107"/>
      <c r="AT305" s="107"/>
      <c r="AU305" s="218"/>
      <c r="AV305" s="218" t="s">
        <v>70</v>
      </c>
      <c r="AW305" s="204" t="s">
        <v>70</v>
      </c>
      <c r="AX305" s="107"/>
      <c r="AY305" s="107">
        <v>40507</v>
      </c>
      <c r="AZ305" s="107">
        <v>43553</v>
      </c>
      <c r="BA305" s="107">
        <v>44193</v>
      </c>
      <c r="BB305" s="108">
        <v>45111</v>
      </c>
      <c r="BC305" s="108">
        <v>45212</v>
      </c>
      <c r="BD305" s="107"/>
      <c r="BE305" s="107"/>
      <c r="BF305" s="107"/>
      <c r="BG305" s="321"/>
      <c r="BH305" s="285" t="s">
        <v>1557</v>
      </c>
    </row>
    <row r="306" spans="1:60" s="61" customFormat="1" ht="19.5" customHeight="1">
      <c r="A306" s="195">
        <v>301</v>
      </c>
      <c r="B306" s="196" t="s">
        <v>629</v>
      </c>
      <c r="C306" s="65" t="s">
        <v>68</v>
      </c>
      <c r="D306" s="65" t="s">
        <v>85</v>
      </c>
      <c r="E306" s="65" t="s">
        <v>732</v>
      </c>
      <c r="F306" s="65" t="s">
        <v>733</v>
      </c>
      <c r="G306" s="110">
        <v>114548</v>
      </c>
      <c r="H306" s="196" t="s">
        <v>734</v>
      </c>
      <c r="I306" s="110">
        <v>292</v>
      </c>
      <c r="J306" s="110">
        <f>SUM(K306:O306)</f>
        <v>1950</v>
      </c>
      <c r="K306" s="110">
        <v>925</v>
      </c>
      <c r="L306" s="110">
        <v>545</v>
      </c>
      <c r="M306" s="110">
        <v>375</v>
      </c>
      <c r="N306" s="110">
        <v>63</v>
      </c>
      <c r="O306" s="110">
        <v>42</v>
      </c>
      <c r="P306" s="197">
        <v>2739</v>
      </c>
      <c r="Q306" s="197">
        <v>1691</v>
      </c>
      <c r="R306" s="197">
        <v>709</v>
      </c>
      <c r="S306" s="197">
        <v>339</v>
      </c>
      <c r="T306" s="197">
        <f t="shared" si="39"/>
        <v>2739</v>
      </c>
      <c r="U306" s="110">
        <v>2400</v>
      </c>
      <c r="V306" s="110"/>
      <c r="W306" s="110">
        <v>416</v>
      </c>
      <c r="X306" s="110">
        <v>431</v>
      </c>
      <c r="Y306" s="110">
        <v>12</v>
      </c>
      <c r="Z306" s="110"/>
      <c r="AA306" s="110">
        <v>339</v>
      </c>
      <c r="AB306" s="110">
        <v>206</v>
      </c>
      <c r="AC306" s="110">
        <v>133</v>
      </c>
      <c r="AD306" s="110"/>
      <c r="AE306" s="110">
        <f t="shared" si="38"/>
        <v>789</v>
      </c>
      <c r="AF306" s="198" t="s">
        <v>426</v>
      </c>
      <c r="AG306" s="198">
        <v>2.87</v>
      </c>
      <c r="AH306" s="199">
        <v>2045</v>
      </c>
      <c r="AI306" s="199">
        <v>1668</v>
      </c>
      <c r="AJ306" s="196" t="s">
        <v>92</v>
      </c>
      <c r="AK306" s="196" t="s">
        <v>720</v>
      </c>
      <c r="AL306" s="196">
        <v>2024</v>
      </c>
      <c r="AM306" s="200">
        <v>40325</v>
      </c>
      <c r="AN306" s="200">
        <v>40940</v>
      </c>
      <c r="AO306" s="107">
        <v>41887</v>
      </c>
      <c r="AP306" s="107">
        <v>42034</v>
      </c>
      <c r="AQ306" s="107">
        <v>45586</v>
      </c>
      <c r="AR306" s="107">
        <v>42261</v>
      </c>
      <c r="AS306" s="107"/>
      <c r="AT306" s="107"/>
      <c r="AU306" s="218"/>
      <c r="AV306" s="218" t="s">
        <v>70</v>
      </c>
      <c r="AW306" s="204" t="s">
        <v>70</v>
      </c>
      <c r="AX306" s="107"/>
      <c r="AY306" s="107">
        <v>42514</v>
      </c>
      <c r="AZ306" s="107">
        <v>43524</v>
      </c>
      <c r="BA306" s="107">
        <v>43845</v>
      </c>
      <c r="BB306" s="107">
        <v>44344</v>
      </c>
      <c r="BC306" s="107">
        <v>44452</v>
      </c>
      <c r="BD306" s="108">
        <v>45462</v>
      </c>
      <c r="BE306" s="107"/>
      <c r="BF306" s="107"/>
      <c r="BG306" s="321"/>
      <c r="BH306" s="285" t="s">
        <v>1558</v>
      </c>
    </row>
    <row r="307" spans="1:60" s="77" customFormat="1" ht="20.100000000000001" customHeight="1">
      <c r="A307" s="195">
        <v>302</v>
      </c>
      <c r="B307" s="196" t="s">
        <v>629</v>
      </c>
      <c r="C307" s="65" t="s">
        <v>68</v>
      </c>
      <c r="D307" s="65" t="s">
        <v>73</v>
      </c>
      <c r="E307" s="65" t="s">
        <v>735</v>
      </c>
      <c r="F307" s="65" t="s">
        <v>736</v>
      </c>
      <c r="G307" s="110">
        <v>14831</v>
      </c>
      <c r="H307" s="196" t="s">
        <v>737</v>
      </c>
      <c r="I307" s="110">
        <v>18</v>
      </c>
      <c r="J307" s="110">
        <v>332</v>
      </c>
      <c r="K307" s="110">
        <v>72</v>
      </c>
      <c r="L307" s="110">
        <v>248</v>
      </c>
      <c r="M307" s="110">
        <v>12</v>
      </c>
      <c r="N307" s="110"/>
      <c r="O307" s="110"/>
      <c r="P307" s="197">
        <v>456</v>
      </c>
      <c r="Q307" s="197">
        <v>246</v>
      </c>
      <c r="R307" s="197">
        <v>191</v>
      </c>
      <c r="S307" s="197">
        <v>19</v>
      </c>
      <c r="T307" s="197">
        <f t="shared" si="39"/>
        <v>456</v>
      </c>
      <c r="U307" s="110">
        <v>437</v>
      </c>
      <c r="V307" s="110"/>
      <c r="W307" s="110">
        <v>375</v>
      </c>
      <c r="X307" s="110">
        <v>62</v>
      </c>
      <c r="Y307" s="110"/>
      <c r="Z307" s="110"/>
      <c r="AA307" s="110">
        <v>19</v>
      </c>
      <c r="AB307" s="110"/>
      <c r="AC307" s="110">
        <v>19</v>
      </c>
      <c r="AD307" s="110"/>
      <c r="AE307" s="110">
        <f t="shared" si="38"/>
        <v>124</v>
      </c>
      <c r="AF307" s="198">
        <v>1.32</v>
      </c>
      <c r="AG307" s="198">
        <v>3</v>
      </c>
      <c r="AH307" s="199">
        <v>346</v>
      </c>
      <c r="AI307" s="199">
        <v>246</v>
      </c>
      <c r="AJ307" s="196" t="s">
        <v>92</v>
      </c>
      <c r="AK307" s="196" t="s">
        <v>715</v>
      </c>
      <c r="AL307" s="196">
        <v>2024</v>
      </c>
      <c r="AM307" s="200">
        <v>38936</v>
      </c>
      <c r="AN307" s="200"/>
      <c r="AO307" s="107"/>
      <c r="AP307" s="107">
        <v>39475</v>
      </c>
      <c r="AQ307" s="107">
        <v>43433</v>
      </c>
      <c r="AR307" s="107"/>
      <c r="AS307" s="107">
        <v>37722</v>
      </c>
      <c r="AT307" s="107"/>
      <c r="AU307" s="218">
        <v>37771</v>
      </c>
      <c r="AV307" s="218" t="s">
        <v>70</v>
      </c>
      <c r="AW307" s="204" t="s">
        <v>70</v>
      </c>
      <c r="AX307" s="107"/>
      <c r="AY307" s="107">
        <v>37798</v>
      </c>
      <c r="AZ307" s="107">
        <v>39930</v>
      </c>
      <c r="BA307" s="107">
        <v>40511</v>
      </c>
      <c r="BB307" s="107">
        <v>44778</v>
      </c>
      <c r="BC307" s="107">
        <v>44802</v>
      </c>
      <c r="BD307" s="107">
        <v>45835</v>
      </c>
      <c r="BE307" s="107">
        <v>46051</v>
      </c>
      <c r="BF307" s="107"/>
      <c r="BG307" s="321"/>
      <c r="BH307" s="285" t="s">
        <v>1551</v>
      </c>
    </row>
    <row r="308" spans="1:60" s="61" customFormat="1" ht="20.100000000000001" customHeight="1">
      <c r="A308" s="195">
        <v>303</v>
      </c>
      <c r="B308" s="196" t="s">
        <v>629</v>
      </c>
      <c r="C308" s="65" t="s">
        <v>68</v>
      </c>
      <c r="D308" s="65" t="s">
        <v>73</v>
      </c>
      <c r="E308" s="65" t="s">
        <v>738</v>
      </c>
      <c r="F308" s="65" t="s">
        <v>739</v>
      </c>
      <c r="G308" s="110">
        <v>108559</v>
      </c>
      <c r="H308" s="211" t="s">
        <v>740</v>
      </c>
      <c r="I308" s="110">
        <v>50</v>
      </c>
      <c r="J308" s="110">
        <v>1998</v>
      </c>
      <c r="K308" s="110">
        <v>49</v>
      </c>
      <c r="L308" s="110">
        <v>430</v>
      </c>
      <c r="M308" s="110">
        <v>1519</v>
      </c>
      <c r="N308" s="110"/>
      <c r="O308" s="110"/>
      <c r="P308" s="197">
        <v>2736</v>
      </c>
      <c r="Q308" s="197">
        <v>2027</v>
      </c>
      <c r="R308" s="197">
        <v>709</v>
      </c>
      <c r="S308" s="197"/>
      <c r="T308" s="197">
        <f t="shared" si="39"/>
        <v>2736</v>
      </c>
      <c r="U308" s="110">
        <v>2736</v>
      </c>
      <c r="V308" s="110"/>
      <c r="W308" s="110">
        <v>1528</v>
      </c>
      <c r="X308" s="110">
        <v>1136</v>
      </c>
      <c r="Y308" s="110">
        <v>72</v>
      </c>
      <c r="Z308" s="110"/>
      <c r="AA308" s="110"/>
      <c r="AB308" s="110"/>
      <c r="AC308" s="110"/>
      <c r="AD308" s="110"/>
      <c r="AE308" s="110">
        <f t="shared" si="38"/>
        <v>738</v>
      </c>
      <c r="AF308" s="198">
        <v>1.7</v>
      </c>
      <c r="AG308" s="198">
        <v>2.7</v>
      </c>
      <c r="AH308" s="199">
        <v>2059</v>
      </c>
      <c r="AI308" s="199">
        <v>2004</v>
      </c>
      <c r="AJ308" s="196" t="s">
        <v>92</v>
      </c>
      <c r="AK308" s="196" t="s">
        <v>731</v>
      </c>
      <c r="AL308" s="196">
        <v>2023</v>
      </c>
      <c r="AM308" s="200">
        <v>38936</v>
      </c>
      <c r="AN308" s="202" t="s">
        <v>563</v>
      </c>
      <c r="AO308" s="200">
        <v>39919</v>
      </c>
      <c r="AP308" s="107">
        <v>40031</v>
      </c>
      <c r="AQ308" s="107">
        <v>44320</v>
      </c>
      <c r="AR308" s="107">
        <v>39141</v>
      </c>
      <c r="AS308" s="107">
        <v>40098</v>
      </c>
      <c r="AT308" s="107"/>
      <c r="AU308" s="218">
        <v>40213</v>
      </c>
      <c r="AV308" s="218" t="s">
        <v>82</v>
      </c>
      <c r="AW308" s="204" t="s">
        <v>70</v>
      </c>
      <c r="AX308" s="107"/>
      <c r="AY308" s="107">
        <v>40725</v>
      </c>
      <c r="AZ308" s="107">
        <v>42621</v>
      </c>
      <c r="BA308" s="107">
        <v>43634</v>
      </c>
      <c r="BB308" s="108">
        <v>44529</v>
      </c>
      <c r="BC308" s="107">
        <v>44636</v>
      </c>
      <c r="BD308" s="107">
        <v>45583</v>
      </c>
      <c r="BE308" s="107"/>
      <c r="BF308" s="107"/>
      <c r="BG308" s="321"/>
      <c r="BH308" s="285" t="s">
        <v>1554</v>
      </c>
    </row>
    <row r="309" spans="1:60" s="61" customFormat="1" ht="20.100000000000001" customHeight="1">
      <c r="A309" s="195">
        <v>304</v>
      </c>
      <c r="B309" s="196" t="s">
        <v>629</v>
      </c>
      <c r="C309" s="65" t="s">
        <v>68</v>
      </c>
      <c r="D309" s="65" t="s">
        <v>85</v>
      </c>
      <c r="E309" s="65" t="s">
        <v>741</v>
      </c>
      <c r="F309" s="65" t="s">
        <v>742</v>
      </c>
      <c r="G309" s="110">
        <v>108017</v>
      </c>
      <c r="H309" s="196" t="s">
        <v>743</v>
      </c>
      <c r="I309" s="110">
        <v>329</v>
      </c>
      <c r="J309" s="110">
        <v>1561</v>
      </c>
      <c r="K309" s="110">
        <v>761</v>
      </c>
      <c r="L309" s="110">
        <v>447</v>
      </c>
      <c r="M309" s="110">
        <v>312</v>
      </c>
      <c r="N309" s="110">
        <v>25</v>
      </c>
      <c r="O309" s="110">
        <v>16</v>
      </c>
      <c r="P309" s="197">
        <v>2417</v>
      </c>
      <c r="Q309" s="197">
        <v>1308</v>
      </c>
      <c r="R309" s="197">
        <v>913</v>
      </c>
      <c r="S309" s="197">
        <v>196</v>
      </c>
      <c r="T309" s="197">
        <f t="shared" si="39"/>
        <v>2417</v>
      </c>
      <c r="U309" s="110">
        <v>2221</v>
      </c>
      <c r="V309" s="110"/>
      <c r="W309" s="110">
        <v>339</v>
      </c>
      <c r="X309" s="110">
        <v>104</v>
      </c>
      <c r="Y309" s="110"/>
      <c r="Z309" s="110"/>
      <c r="AA309" s="110">
        <v>196</v>
      </c>
      <c r="AB309" s="110">
        <v>134</v>
      </c>
      <c r="AC309" s="110">
        <v>62</v>
      </c>
      <c r="AD309" s="110"/>
      <c r="AE309" s="110">
        <f t="shared" si="38"/>
        <v>856</v>
      </c>
      <c r="AF309" s="198" t="s">
        <v>426</v>
      </c>
      <c r="AG309" s="198">
        <v>2.6905999999999999</v>
      </c>
      <c r="AH309" s="199">
        <v>1290</v>
      </c>
      <c r="AI309" s="199">
        <v>1222</v>
      </c>
      <c r="AJ309" s="196" t="s">
        <v>92</v>
      </c>
      <c r="AK309" s="196" t="s">
        <v>744</v>
      </c>
      <c r="AL309" s="196">
        <v>2024</v>
      </c>
      <c r="AM309" s="200">
        <v>38936</v>
      </c>
      <c r="AN309" s="202" t="s">
        <v>563</v>
      </c>
      <c r="AO309" s="200">
        <v>40681</v>
      </c>
      <c r="AP309" s="107">
        <v>40681</v>
      </c>
      <c r="AQ309" s="107">
        <v>45737</v>
      </c>
      <c r="AR309" s="107">
        <v>38951</v>
      </c>
      <c r="AS309" s="107"/>
      <c r="AT309" s="107"/>
      <c r="AU309" s="218"/>
      <c r="AV309" s="218" t="s">
        <v>70</v>
      </c>
      <c r="AW309" s="204" t="s">
        <v>70</v>
      </c>
      <c r="AX309" s="107"/>
      <c r="AY309" s="107">
        <v>40861</v>
      </c>
      <c r="AZ309" s="107">
        <v>43249</v>
      </c>
      <c r="BA309" s="107">
        <v>43675</v>
      </c>
      <c r="BB309" s="108">
        <v>44347</v>
      </c>
      <c r="BC309" s="107">
        <v>44371</v>
      </c>
      <c r="BD309" s="108">
        <v>46080</v>
      </c>
      <c r="BE309" s="107"/>
      <c r="BF309" s="107"/>
      <c r="BG309" s="321"/>
      <c r="BH309" s="285" t="s">
        <v>1555</v>
      </c>
    </row>
    <row r="310" spans="1:60" s="61" customFormat="1" ht="20.25" customHeight="1">
      <c r="A310" s="195">
        <v>305</v>
      </c>
      <c r="B310" s="196" t="s">
        <v>629</v>
      </c>
      <c r="C310" s="65" t="s">
        <v>68</v>
      </c>
      <c r="D310" s="65" t="s">
        <v>85</v>
      </c>
      <c r="E310" s="65" t="s">
        <v>745</v>
      </c>
      <c r="F310" s="65" t="s">
        <v>746</v>
      </c>
      <c r="G310" s="110">
        <v>41856</v>
      </c>
      <c r="H310" s="196" t="s">
        <v>747</v>
      </c>
      <c r="I310" s="110">
        <v>92</v>
      </c>
      <c r="J310" s="110">
        <v>538</v>
      </c>
      <c r="K310" s="110">
        <v>259</v>
      </c>
      <c r="L310" s="110">
        <v>140</v>
      </c>
      <c r="M310" s="110">
        <v>108</v>
      </c>
      <c r="N310" s="110">
        <v>23</v>
      </c>
      <c r="O310" s="110">
        <v>8</v>
      </c>
      <c r="P310" s="197">
        <v>1011</v>
      </c>
      <c r="Q310" s="197">
        <v>457</v>
      </c>
      <c r="R310" s="197">
        <v>403</v>
      </c>
      <c r="S310" s="197">
        <v>151</v>
      </c>
      <c r="T310" s="197">
        <f t="shared" si="39"/>
        <v>1011</v>
      </c>
      <c r="U310" s="110">
        <v>860</v>
      </c>
      <c r="V310" s="110">
        <v>13</v>
      </c>
      <c r="W310" s="110">
        <v>416</v>
      </c>
      <c r="X310" s="110">
        <v>431</v>
      </c>
      <c r="Y310" s="110"/>
      <c r="Z310" s="110"/>
      <c r="AA310" s="110">
        <v>151</v>
      </c>
      <c r="AB310" s="110">
        <v>151</v>
      </c>
      <c r="AC310" s="110"/>
      <c r="AD310" s="110"/>
      <c r="AE310" s="110">
        <f t="shared" si="38"/>
        <v>473</v>
      </c>
      <c r="AF310" s="198" t="s">
        <v>426</v>
      </c>
      <c r="AG310" s="198">
        <v>2.98</v>
      </c>
      <c r="AH310" s="199">
        <v>512</v>
      </c>
      <c r="AI310" s="199">
        <v>438</v>
      </c>
      <c r="AJ310" s="196" t="s">
        <v>92</v>
      </c>
      <c r="AK310" s="196" t="s">
        <v>748</v>
      </c>
      <c r="AL310" s="196">
        <v>2025</v>
      </c>
      <c r="AM310" s="200">
        <v>38936</v>
      </c>
      <c r="AN310" s="202" t="s">
        <v>563</v>
      </c>
      <c r="AO310" s="200">
        <v>41206</v>
      </c>
      <c r="AP310" s="107">
        <v>41333</v>
      </c>
      <c r="AQ310" s="107">
        <v>42965</v>
      </c>
      <c r="AR310" s="107">
        <v>38945</v>
      </c>
      <c r="AS310" s="107"/>
      <c r="AT310" s="107"/>
      <c r="AU310" s="218"/>
      <c r="AV310" s="218" t="s">
        <v>70</v>
      </c>
      <c r="AW310" s="204" t="s">
        <v>70</v>
      </c>
      <c r="AX310" s="107"/>
      <c r="AY310" s="107">
        <v>41942</v>
      </c>
      <c r="AZ310" s="107">
        <v>43549</v>
      </c>
      <c r="BA310" s="107">
        <v>43894</v>
      </c>
      <c r="BB310" s="107">
        <v>44462</v>
      </c>
      <c r="BC310" s="107">
        <v>45603</v>
      </c>
      <c r="BD310" s="108">
        <v>45713</v>
      </c>
      <c r="BE310" s="107"/>
      <c r="BF310" s="107"/>
      <c r="BG310" s="321"/>
      <c r="BH310" s="285" t="s">
        <v>1559</v>
      </c>
    </row>
    <row r="311" spans="1:60" s="61" customFormat="1" ht="20.100000000000001" customHeight="1">
      <c r="A311" s="195">
        <v>306</v>
      </c>
      <c r="B311" s="196" t="s">
        <v>629</v>
      </c>
      <c r="C311" s="65" t="s">
        <v>68</v>
      </c>
      <c r="D311" s="65" t="s">
        <v>112</v>
      </c>
      <c r="E311" s="65" t="s">
        <v>749</v>
      </c>
      <c r="F311" s="65" t="s">
        <v>750</v>
      </c>
      <c r="G311" s="110">
        <v>119383</v>
      </c>
      <c r="H311" s="196" t="s">
        <v>751</v>
      </c>
      <c r="I311" s="110">
        <v>440</v>
      </c>
      <c r="J311" s="110">
        <f>SUM(K311:O311)</f>
        <v>1771</v>
      </c>
      <c r="K311" s="110">
        <v>726</v>
      </c>
      <c r="L311" s="110">
        <v>697</v>
      </c>
      <c r="M311" s="110">
        <v>229</v>
      </c>
      <c r="N311" s="110">
        <v>98</v>
      </c>
      <c r="O311" s="110">
        <v>21</v>
      </c>
      <c r="P311" s="197">
        <v>2329</v>
      </c>
      <c r="Q311" s="197">
        <v>1054</v>
      </c>
      <c r="R311" s="197">
        <v>1087</v>
      </c>
      <c r="S311" s="197">
        <v>188</v>
      </c>
      <c r="T311" s="197">
        <f t="shared" si="39"/>
        <v>2329</v>
      </c>
      <c r="U311" s="110">
        <v>2141</v>
      </c>
      <c r="V311" s="110">
        <v>0</v>
      </c>
      <c r="W311" s="110">
        <v>953</v>
      </c>
      <c r="X311" s="110">
        <v>1131</v>
      </c>
      <c r="Y311" s="110">
        <v>57</v>
      </c>
      <c r="Z311" s="110"/>
      <c r="AA311" s="110">
        <v>188</v>
      </c>
      <c r="AB311" s="110">
        <v>91</v>
      </c>
      <c r="AC311" s="110">
        <v>97</v>
      </c>
      <c r="AD311" s="110"/>
      <c r="AE311" s="110">
        <f t="shared" si="38"/>
        <v>558</v>
      </c>
      <c r="AF311" s="65" t="s">
        <v>426</v>
      </c>
      <c r="AG311" s="198">
        <v>2.5499999999999998</v>
      </c>
      <c r="AH311" s="199">
        <v>873</v>
      </c>
      <c r="AI311" s="199"/>
      <c r="AJ311" s="65" t="s">
        <v>752</v>
      </c>
      <c r="AK311" s="196">
        <v>2006</v>
      </c>
      <c r="AL311" s="196">
        <v>2025</v>
      </c>
      <c r="AM311" s="200">
        <v>38936</v>
      </c>
      <c r="AN311" s="202"/>
      <c r="AO311" s="107">
        <v>40095</v>
      </c>
      <c r="AP311" s="107">
        <v>40130</v>
      </c>
      <c r="AQ311" s="107">
        <v>46078</v>
      </c>
      <c r="AR311" s="107"/>
      <c r="AS311" s="107"/>
      <c r="AT311" s="107"/>
      <c r="AU311" s="218"/>
      <c r="AV311" s="218" t="s">
        <v>70</v>
      </c>
      <c r="AW311" s="204" t="s">
        <v>70</v>
      </c>
      <c r="AX311" s="107"/>
      <c r="AY311" s="107"/>
      <c r="AZ311" s="107">
        <v>43552</v>
      </c>
      <c r="BA311" s="107">
        <v>43889</v>
      </c>
      <c r="BB311" s="107">
        <v>44560</v>
      </c>
      <c r="BC311" s="107">
        <v>44575</v>
      </c>
      <c r="BD311" s="107">
        <v>45679</v>
      </c>
      <c r="BE311" s="107"/>
      <c r="BF311" s="107"/>
      <c r="BG311" s="321"/>
      <c r="BH311" s="285" t="s">
        <v>1552</v>
      </c>
    </row>
    <row r="312" spans="1:60" s="61" customFormat="1" ht="20.100000000000001" customHeight="1">
      <c r="A312" s="195">
        <v>307</v>
      </c>
      <c r="B312" s="196" t="s">
        <v>629</v>
      </c>
      <c r="C312" s="65" t="s">
        <v>68</v>
      </c>
      <c r="D312" s="65" t="s">
        <v>85</v>
      </c>
      <c r="E312" s="65" t="s">
        <v>753</v>
      </c>
      <c r="F312" s="65" t="s">
        <v>754</v>
      </c>
      <c r="G312" s="110">
        <v>41950.6</v>
      </c>
      <c r="H312" s="196" t="s">
        <v>730</v>
      </c>
      <c r="I312" s="110">
        <v>116</v>
      </c>
      <c r="J312" s="110">
        <f>SUM(K312:O312)</f>
        <v>620</v>
      </c>
      <c r="K312" s="110">
        <v>310</v>
      </c>
      <c r="L312" s="110">
        <v>186</v>
      </c>
      <c r="M312" s="110">
        <v>124</v>
      </c>
      <c r="N312" s="110"/>
      <c r="O312" s="110"/>
      <c r="P312" s="197">
        <v>855</v>
      </c>
      <c r="Q312" s="197">
        <v>372</v>
      </c>
      <c r="R312" s="197">
        <v>414</v>
      </c>
      <c r="S312" s="197">
        <v>69</v>
      </c>
      <c r="T312" s="197">
        <f t="shared" si="39"/>
        <v>855</v>
      </c>
      <c r="U312" s="110">
        <v>786</v>
      </c>
      <c r="V312" s="110">
        <v>40</v>
      </c>
      <c r="W312" s="110">
        <v>245</v>
      </c>
      <c r="X312" s="110">
        <v>501</v>
      </c>
      <c r="Y312" s="110"/>
      <c r="Z312" s="110"/>
      <c r="AA312" s="110">
        <v>69</v>
      </c>
      <c r="AB312" s="110">
        <v>40</v>
      </c>
      <c r="AC312" s="110">
        <v>29</v>
      </c>
      <c r="AD312" s="110"/>
      <c r="AE312" s="110">
        <f t="shared" si="38"/>
        <v>235</v>
      </c>
      <c r="AF312" s="198" t="s">
        <v>426</v>
      </c>
      <c r="AG312" s="198">
        <v>2.63</v>
      </c>
      <c r="AH312" s="199">
        <v>585</v>
      </c>
      <c r="AI312" s="199">
        <v>353</v>
      </c>
      <c r="AJ312" s="196" t="s">
        <v>92</v>
      </c>
      <c r="AK312" s="196" t="s">
        <v>731</v>
      </c>
      <c r="AL312" s="196" t="s">
        <v>755</v>
      </c>
      <c r="AM312" s="200">
        <v>38936</v>
      </c>
      <c r="AN312" s="202" t="s">
        <v>563</v>
      </c>
      <c r="AO312" s="200">
        <v>39883</v>
      </c>
      <c r="AP312" s="107">
        <v>40053</v>
      </c>
      <c r="AQ312" s="107">
        <v>42600</v>
      </c>
      <c r="AR312" s="107">
        <v>39029</v>
      </c>
      <c r="AS312" s="107"/>
      <c r="AT312" s="107"/>
      <c r="AU312" s="218"/>
      <c r="AV312" s="218" t="s">
        <v>70</v>
      </c>
      <c r="AW312" s="204" t="s">
        <v>70</v>
      </c>
      <c r="AX312" s="107"/>
      <c r="AY312" s="107">
        <v>40463</v>
      </c>
      <c r="AZ312" s="107">
        <v>42542</v>
      </c>
      <c r="BA312" s="107">
        <v>42824</v>
      </c>
      <c r="BB312" s="107">
        <v>43432</v>
      </c>
      <c r="BC312" s="107">
        <v>43437</v>
      </c>
      <c r="BD312" s="107">
        <v>44694</v>
      </c>
      <c r="BE312" s="107">
        <v>44769</v>
      </c>
      <c r="BF312" s="107"/>
      <c r="BG312" s="321"/>
      <c r="BH312" s="285" t="s">
        <v>1558</v>
      </c>
    </row>
    <row r="313" spans="1:60" s="76" customFormat="1" ht="20.100000000000001" customHeight="1">
      <c r="A313" s="195">
        <v>308</v>
      </c>
      <c r="B313" s="196" t="s">
        <v>629</v>
      </c>
      <c r="C313" s="65" t="s">
        <v>68</v>
      </c>
      <c r="D313" s="65" t="s">
        <v>73</v>
      </c>
      <c r="E313" s="65" t="s">
        <v>756</v>
      </c>
      <c r="F313" s="65" t="s">
        <v>757</v>
      </c>
      <c r="G313" s="110">
        <v>10431</v>
      </c>
      <c r="H313" s="196" t="s">
        <v>719</v>
      </c>
      <c r="I313" s="110">
        <v>5</v>
      </c>
      <c r="J313" s="110">
        <v>239</v>
      </c>
      <c r="K313" s="110">
        <v>30</v>
      </c>
      <c r="L313" s="110">
        <v>149</v>
      </c>
      <c r="M313" s="110">
        <v>60</v>
      </c>
      <c r="N313" s="110"/>
      <c r="O313" s="110"/>
      <c r="P313" s="197">
        <v>304</v>
      </c>
      <c r="Q313" s="197">
        <v>236</v>
      </c>
      <c r="R313" s="197">
        <v>68</v>
      </c>
      <c r="S313" s="197"/>
      <c r="T313" s="197">
        <f t="shared" si="39"/>
        <v>304</v>
      </c>
      <c r="U313" s="110">
        <v>304</v>
      </c>
      <c r="V313" s="110"/>
      <c r="W313" s="110">
        <v>304</v>
      </c>
      <c r="X313" s="110"/>
      <c r="Y313" s="110"/>
      <c r="Z313" s="110"/>
      <c r="AA313" s="110"/>
      <c r="AB313" s="110"/>
      <c r="AC313" s="110"/>
      <c r="AD313" s="110"/>
      <c r="AE313" s="110">
        <f t="shared" si="38"/>
        <v>65</v>
      </c>
      <c r="AF313" s="198" t="s">
        <v>758</v>
      </c>
      <c r="AG313" s="198">
        <v>2.67</v>
      </c>
      <c r="AH313" s="199">
        <v>239</v>
      </c>
      <c r="AI313" s="199">
        <v>236</v>
      </c>
      <c r="AJ313" s="196" t="s">
        <v>759</v>
      </c>
      <c r="AK313" s="196" t="s">
        <v>720</v>
      </c>
      <c r="AL313" s="196">
        <v>2021</v>
      </c>
      <c r="AM313" s="200">
        <v>40325</v>
      </c>
      <c r="AN313" s="200">
        <v>41274</v>
      </c>
      <c r="AO313" s="107">
        <v>42258</v>
      </c>
      <c r="AP313" s="107">
        <v>42341</v>
      </c>
      <c r="AQ313" s="107">
        <v>44547</v>
      </c>
      <c r="AR313" s="107"/>
      <c r="AS313" s="107">
        <v>41082</v>
      </c>
      <c r="AT313" s="107"/>
      <c r="AU313" s="218">
        <v>41383</v>
      </c>
      <c r="AV313" s="218" t="s">
        <v>82</v>
      </c>
      <c r="AW313" s="204" t="s">
        <v>70</v>
      </c>
      <c r="AX313" s="107"/>
      <c r="AY313" s="107">
        <v>42626</v>
      </c>
      <c r="AZ313" s="107">
        <v>43045</v>
      </c>
      <c r="BA313" s="107">
        <v>43294</v>
      </c>
      <c r="BB313" s="107">
        <v>43616</v>
      </c>
      <c r="BC313" s="107">
        <v>43641</v>
      </c>
      <c r="BD313" s="108">
        <v>44515</v>
      </c>
      <c r="BE313" s="107">
        <v>45211</v>
      </c>
      <c r="BF313" s="107"/>
      <c r="BG313" s="321"/>
      <c r="BH313" s="285" t="s">
        <v>1554</v>
      </c>
    </row>
    <row r="314" spans="1:60" s="61" customFormat="1" ht="20.100000000000001" customHeight="1">
      <c r="A314" s="195">
        <v>309</v>
      </c>
      <c r="B314" s="196" t="s">
        <v>629</v>
      </c>
      <c r="C314" s="65" t="s">
        <v>68</v>
      </c>
      <c r="D314" s="65" t="s">
        <v>73</v>
      </c>
      <c r="E314" s="65" t="s">
        <v>760</v>
      </c>
      <c r="F314" s="65" t="s">
        <v>761</v>
      </c>
      <c r="G314" s="110">
        <v>52223</v>
      </c>
      <c r="H314" s="196" t="s">
        <v>762</v>
      </c>
      <c r="I314" s="110">
        <v>242</v>
      </c>
      <c r="J314" s="110">
        <v>864</v>
      </c>
      <c r="K314" s="110"/>
      <c r="L314" s="110">
        <v>510</v>
      </c>
      <c r="M314" s="110">
        <v>212</v>
      </c>
      <c r="N314" s="110">
        <v>66</v>
      </c>
      <c r="O314" s="110">
        <v>76</v>
      </c>
      <c r="P314" s="197">
        <v>1199</v>
      </c>
      <c r="Q314" s="197">
        <v>535</v>
      </c>
      <c r="R314" s="197">
        <v>664</v>
      </c>
      <c r="S314" s="197"/>
      <c r="T314" s="197">
        <f t="shared" si="39"/>
        <v>1199</v>
      </c>
      <c r="U314" s="110">
        <v>1199</v>
      </c>
      <c r="V314" s="110"/>
      <c r="W314" s="110">
        <v>484</v>
      </c>
      <c r="X314" s="110">
        <v>567</v>
      </c>
      <c r="Y314" s="110">
        <v>148</v>
      </c>
      <c r="Z314" s="110"/>
      <c r="AA314" s="110"/>
      <c r="AB314" s="110"/>
      <c r="AC314" s="110"/>
      <c r="AD314" s="110"/>
      <c r="AE314" s="110">
        <f t="shared" si="38"/>
        <v>335</v>
      </c>
      <c r="AF314" s="198" t="s">
        <v>196</v>
      </c>
      <c r="AG314" s="198">
        <v>3.07</v>
      </c>
      <c r="AH314" s="199">
        <v>811</v>
      </c>
      <c r="AI314" s="199">
        <v>536</v>
      </c>
      <c r="AJ314" s="196" t="s">
        <v>92</v>
      </c>
      <c r="AK314" s="196" t="s">
        <v>715</v>
      </c>
      <c r="AL314" s="196">
        <v>2021</v>
      </c>
      <c r="AM314" s="200">
        <v>38936</v>
      </c>
      <c r="AN314" s="200"/>
      <c r="AO314" s="107"/>
      <c r="AP314" s="107">
        <v>39773</v>
      </c>
      <c r="AQ314" s="107">
        <v>43490</v>
      </c>
      <c r="AR314" s="107">
        <v>39141</v>
      </c>
      <c r="AS314" s="107"/>
      <c r="AT314" s="107"/>
      <c r="AU314" s="218">
        <v>39806</v>
      </c>
      <c r="AV314" s="218" t="s">
        <v>82</v>
      </c>
      <c r="AW314" s="204" t="s">
        <v>70</v>
      </c>
      <c r="AX314" s="107"/>
      <c r="AY314" s="107">
        <v>40085</v>
      </c>
      <c r="AZ314" s="107">
        <v>41943</v>
      </c>
      <c r="BA314" s="107">
        <v>42807</v>
      </c>
      <c r="BB314" s="107">
        <v>43490</v>
      </c>
      <c r="BC314" s="107">
        <v>43515</v>
      </c>
      <c r="BD314" s="107">
        <v>44622</v>
      </c>
      <c r="BE314" s="107">
        <v>44747</v>
      </c>
      <c r="BF314" s="107"/>
      <c r="BG314" s="321"/>
      <c r="BH314" s="285" t="s">
        <v>1554</v>
      </c>
    </row>
    <row r="315" spans="1:60" s="61" customFormat="1" ht="20.100000000000001" customHeight="1">
      <c r="A315" s="195">
        <v>310</v>
      </c>
      <c r="B315" s="196" t="s">
        <v>629</v>
      </c>
      <c r="C315" s="65" t="s">
        <v>68</v>
      </c>
      <c r="D315" s="65" t="s">
        <v>85</v>
      </c>
      <c r="E315" s="65" t="s">
        <v>763</v>
      </c>
      <c r="F315" s="65" t="s">
        <v>764</v>
      </c>
      <c r="G315" s="110">
        <v>257590.19</v>
      </c>
      <c r="H315" s="196" t="s">
        <v>765</v>
      </c>
      <c r="I315" s="110">
        <v>870</v>
      </c>
      <c r="J315" s="110">
        <f>SUM(K315:O315)</f>
        <v>4910</v>
      </c>
      <c r="K315" s="110">
        <v>2455</v>
      </c>
      <c r="L315" s="110">
        <v>1470</v>
      </c>
      <c r="M315" s="110">
        <v>922</v>
      </c>
      <c r="N315" s="110">
        <v>63</v>
      </c>
      <c r="O315" s="110"/>
      <c r="P315" s="197">
        <v>4250</v>
      </c>
      <c r="Q315" s="197">
        <v>3179</v>
      </c>
      <c r="R315" s="197">
        <v>342</v>
      </c>
      <c r="S315" s="197">
        <v>729</v>
      </c>
      <c r="T315" s="197">
        <f t="shared" si="39"/>
        <v>4250</v>
      </c>
      <c r="U315" s="110">
        <v>3521</v>
      </c>
      <c r="V315" s="110"/>
      <c r="W315" s="110">
        <v>1308</v>
      </c>
      <c r="X315" s="110">
        <v>1634</v>
      </c>
      <c r="Y315" s="110">
        <v>384</v>
      </c>
      <c r="Z315" s="110">
        <v>195</v>
      </c>
      <c r="AA315" s="110">
        <v>729</v>
      </c>
      <c r="AB315" s="110">
        <v>633</v>
      </c>
      <c r="AC315" s="110">
        <v>96</v>
      </c>
      <c r="AD315" s="110"/>
      <c r="AE315" s="110">
        <f t="shared" si="38"/>
        <v>-660</v>
      </c>
      <c r="AF315" s="198" t="s">
        <v>426</v>
      </c>
      <c r="AG315" s="198">
        <v>2.4500000000000002</v>
      </c>
      <c r="AH315" s="199">
        <v>3669</v>
      </c>
      <c r="AI315" s="199">
        <v>3179</v>
      </c>
      <c r="AJ315" s="196" t="s">
        <v>105</v>
      </c>
      <c r="AK315" s="196" t="s">
        <v>108</v>
      </c>
      <c r="AL315" s="196" t="s">
        <v>766</v>
      </c>
      <c r="AM315" s="200">
        <v>38936</v>
      </c>
      <c r="AN315" s="200"/>
      <c r="AO315" s="107"/>
      <c r="AP315" s="107">
        <v>38967</v>
      </c>
      <c r="AQ315" s="107">
        <v>42626</v>
      </c>
      <c r="AR315" s="107"/>
      <c r="AS315" s="107"/>
      <c r="AT315" s="107"/>
      <c r="AU315" s="218"/>
      <c r="AV315" s="218" t="s">
        <v>70</v>
      </c>
      <c r="AW315" s="204" t="s">
        <v>70</v>
      </c>
      <c r="AX315" s="107"/>
      <c r="AY315" s="107"/>
      <c r="AZ315" s="107">
        <v>39813</v>
      </c>
      <c r="BA315" s="107">
        <v>40872</v>
      </c>
      <c r="BB315" s="107">
        <v>41731</v>
      </c>
      <c r="BC315" s="107">
        <v>42268</v>
      </c>
      <c r="BD315" s="107">
        <v>42669</v>
      </c>
      <c r="BE315" s="107">
        <v>42947</v>
      </c>
      <c r="BF315" s="107"/>
      <c r="BG315" s="321"/>
      <c r="BH315" s="285" t="s">
        <v>1552</v>
      </c>
    </row>
    <row r="316" spans="1:60" s="61" customFormat="1" ht="20.100000000000001" customHeight="1">
      <c r="A316" s="195">
        <v>311</v>
      </c>
      <c r="B316" s="196" t="s">
        <v>629</v>
      </c>
      <c r="C316" s="65" t="s">
        <v>68</v>
      </c>
      <c r="D316" s="65" t="s">
        <v>73</v>
      </c>
      <c r="E316" s="65" t="s">
        <v>767</v>
      </c>
      <c r="F316" s="65" t="s">
        <v>768</v>
      </c>
      <c r="G316" s="110">
        <v>17748.900000000001</v>
      </c>
      <c r="H316" s="196" t="s">
        <v>769</v>
      </c>
      <c r="I316" s="110">
        <v>45</v>
      </c>
      <c r="J316" s="110">
        <f>SUM(K316:O316)</f>
        <v>247</v>
      </c>
      <c r="K316" s="110"/>
      <c r="L316" s="110">
        <v>141</v>
      </c>
      <c r="M316" s="110">
        <v>104</v>
      </c>
      <c r="N316" s="110">
        <v>2</v>
      </c>
      <c r="O316" s="110"/>
      <c r="P316" s="197">
        <v>419</v>
      </c>
      <c r="Q316" s="197">
        <v>209</v>
      </c>
      <c r="R316" s="197">
        <v>189</v>
      </c>
      <c r="S316" s="197">
        <v>21</v>
      </c>
      <c r="T316" s="197">
        <f t="shared" si="39"/>
        <v>419</v>
      </c>
      <c r="U316" s="110">
        <v>398</v>
      </c>
      <c r="V316" s="110"/>
      <c r="W316" s="110">
        <v>240</v>
      </c>
      <c r="X316" s="110">
        <v>156</v>
      </c>
      <c r="Y316" s="110">
        <v>2</v>
      </c>
      <c r="Z316" s="110"/>
      <c r="AA316" s="110">
        <v>21</v>
      </c>
      <c r="AB316" s="110"/>
      <c r="AC316" s="110">
        <v>21</v>
      </c>
      <c r="AD316" s="110"/>
      <c r="AE316" s="110">
        <f t="shared" si="38"/>
        <v>172</v>
      </c>
      <c r="AF316" s="198">
        <v>1.03</v>
      </c>
      <c r="AG316" s="198">
        <v>2.96</v>
      </c>
      <c r="AH316" s="199">
        <v>247</v>
      </c>
      <c r="AI316" s="199">
        <v>209</v>
      </c>
      <c r="AJ316" s="196" t="s">
        <v>92</v>
      </c>
      <c r="AK316" s="196" t="s">
        <v>770</v>
      </c>
      <c r="AL316" s="196">
        <v>2019</v>
      </c>
      <c r="AM316" s="200">
        <v>38936</v>
      </c>
      <c r="AN316" s="200"/>
      <c r="AO316" s="107"/>
      <c r="AP316" s="107">
        <v>39352</v>
      </c>
      <c r="AQ316" s="107">
        <v>44091</v>
      </c>
      <c r="AR316" s="107"/>
      <c r="AS316" s="107"/>
      <c r="AT316" s="107"/>
      <c r="AU316" s="218">
        <v>35764</v>
      </c>
      <c r="AV316" s="218" t="s">
        <v>70</v>
      </c>
      <c r="AW316" s="204" t="s">
        <v>70</v>
      </c>
      <c r="AX316" s="107"/>
      <c r="AY316" s="107">
        <v>35774</v>
      </c>
      <c r="AZ316" s="107">
        <v>39903</v>
      </c>
      <c r="BA316" s="107">
        <v>42164</v>
      </c>
      <c r="BB316" s="107">
        <v>42608</v>
      </c>
      <c r="BC316" s="107">
        <v>42612</v>
      </c>
      <c r="BD316" s="107">
        <v>43490</v>
      </c>
      <c r="BE316" s="108">
        <v>44167</v>
      </c>
      <c r="BF316" s="107"/>
      <c r="BG316" s="328"/>
      <c r="BH316" s="285" t="s">
        <v>1554</v>
      </c>
    </row>
    <row r="317" spans="1:60" s="61" customFormat="1" ht="20.100000000000001" customHeight="1">
      <c r="A317" s="195">
        <v>312</v>
      </c>
      <c r="B317" s="196" t="s">
        <v>629</v>
      </c>
      <c r="C317" s="65" t="s">
        <v>68</v>
      </c>
      <c r="D317" s="65" t="s">
        <v>73</v>
      </c>
      <c r="E317" s="65" t="s">
        <v>771</v>
      </c>
      <c r="F317" s="65" t="s">
        <v>772</v>
      </c>
      <c r="G317" s="110">
        <v>11094</v>
      </c>
      <c r="H317" s="196" t="s">
        <v>737</v>
      </c>
      <c r="I317" s="110">
        <v>48</v>
      </c>
      <c r="J317" s="110">
        <f>SUM(K317:O317)</f>
        <v>48</v>
      </c>
      <c r="K317" s="110"/>
      <c r="L317" s="110">
        <v>5</v>
      </c>
      <c r="M317" s="110">
        <v>8</v>
      </c>
      <c r="N317" s="110">
        <v>11</v>
      </c>
      <c r="O317" s="110">
        <v>24</v>
      </c>
      <c r="P317" s="197">
        <v>200</v>
      </c>
      <c r="Q317" s="197">
        <v>58</v>
      </c>
      <c r="R317" s="197">
        <v>142</v>
      </c>
      <c r="S317" s="197"/>
      <c r="T317" s="197">
        <f t="shared" si="39"/>
        <v>200</v>
      </c>
      <c r="U317" s="110">
        <v>200</v>
      </c>
      <c r="V317" s="110"/>
      <c r="W317" s="110">
        <v>116</v>
      </c>
      <c r="X317" s="110">
        <v>84</v>
      </c>
      <c r="Y317" s="110"/>
      <c r="Z317" s="110"/>
      <c r="AA317" s="110"/>
      <c r="AB317" s="110"/>
      <c r="AC317" s="110"/>
      <c r="AD317" s="110"/>
      <c r="AE317" s="110">
        <f t="shared" si="38"/>
        <v>152</v>
      </c>
      <c r="AF317" s="198" t="s">
        <v>196</v>
      </c>
      <c r="AG317" s="198">
        <v>2.65</v>
      </c>
      <c r="AH317" s="199">
        <v>51</v>
      </c>
      <c r="AI317" s="199">
        <v>42</v>
      </c>
      <c r="AJ317" s="196" t="s">
        <v>92</v>
      </c>
      <c r="AK317" s="196" t="s">
        <v>744</v>
      </c>
      <c r="AL317" s="196" t="s">
        <v>773</v>
      </c>
      <c r="AM317" s="200">
        <v>38936</v>
      </c>
      <c r="AN317" s="200"/>
      <c r="AO317" s="107"/>
      <c r="AP317" s="107">
        <v>40752</v>
      </c>
      <c r="AQ317" s="107">
        <v>43353</v>
      </c>
      <c r="AR317" s="107">
        <v>40870</v>
      </c>
      <c r="AS317" s="107">
        <v>39563</v>
      </c>
      <c r="AT317" s="107"/>
      <c r="AU317" s="218">
        <v>39769</v>
      </c>
      <c r="AV317" s="218" t="s">
        <v>70</v>
      </c>
      <c r="AW317" s="204" t="s">
        <v>70</v>
      </c>
      <c r="AX317" s="107"/>
      <c r="AY317" s="107">
        <v>41072</v>
      </c>
      <c r="AZ317" s="107">
        <v>41667</v>
      </c>
      <c r="BA317" s="107">
        <v>41935</v>
      </c>
      <c r="BB317" s="107">
        <v>42314</v>
      </c>
      <c r="BC317" s="107">
        <v>42327</v>
      </c>
      <c r="BD317" s="107">
        <v>43189</v>
      </c>
      <c r="BE317" s="108">
        <v>43357</v>
      </c>
      <c r="BF317" s="107"/>
      <c r="BG317" s="328"/>
      <c r="BH317" s="285" t="s">
        <v>1554</v>
      </c>
    </row>
    <row r="318" spans="1:60" s="61" customFormat="1" ht="20.100000000000001" customHeight="1">
      <c r="A318" s="195">
        <v>313</v>
      </c>
      <c r="B318" s="196" t="s">
        <v>629</v>
      </c>
      <c r="C318" s="65" t="s">
        <v>68</v>
      </c>
      <c r="D318" s="65" t="s">
        <v>73</v>
      </c>
      <c r="E318" s="65" t="s">
        <v>774</v>
      </c>
      <c r="F318" s="65" t="s">
        <v>775</v>
      </c>
      <c r="G318" s="110">
        <v>47177</v>
      </c>
      <c r="H318" s="196" t="s">
        <v>737</v>
      </c>
      <c r="I318" s="110">
        <v>55</v>
      </c>
      <c r="J318" s="110">
        <f>SUM(K318:O318)</f>
        <v>577</v>
      </c>
      <c r="K318" s="110"/>
      <c r="L318" s="110">
        <v>210</v>
      </c>
      <c r="M318" s="110">
        <v>325</v>
      </c>
      <c r="N318" s="110">
        <v>42</v>
      </c>
      <c r="O318" s="110"/>
      <c r="P318" s="197">
        <v>742</v>
      </c>
      <c r="Q318" s="197">
        <v>491</v>
      </c>
      <c r="R318" s="197">
        <v>185</v>
      </c>
      <c r="S318" s="197">
        <v>66</v>
      </c>
      <c r="T318" s="197">
        <f t="shared" si="39"/>
        <v>742</v>
      </c>
      <c r="U318" s="110">
        <v>676</v>
      </c>
      <c r="V318" s="110"/>
      <c r="W318" s="110">
        <v>193</v>
      </c>
      <c r="X318" s="110">
        <v>135</v>
      </c>
      <c r="Y318" s="110">
        <v>348</v>
      </c>
      <c r="Z318" s="110"/>
      <c r="AA318" s="110">
        <v>66</v>
      </c>
      <c r="AB318" s="110"/>
      <c r="AC318" s="110">
        <v>66</v>
      </c>
      <c r="AD318" s="110"/>
      <c r="AE318" s="110">
        <f t="shared" si="38"/>
        <v>165</v>
      </c>
      <c r="AF318" s="198">
        <v>0.86</v>
      </c>
      <c r="AG318" s="198">
        <v>2.2799999999999998</v>
      </c>
      <c r="AH318" s="199">
        <v>577</v>
      </c>
      <c r="AI318" s="199">
        <v>526</v>
      </c>
      <c r="AJ318" s="196" t="s">
        <v>92</v>
      </c>
      <c r="AK318" s="196">
        <v>2006</v>
      </c>
      <c r="AL318" s="196" t="s">
        <v>776</v>
      </c>
      <c r="AM318" s="200">
        <v>38936</v>
      </c>
      <c r="AN318" s="200"/>
      <c r="AO318" s="107"/>
      <c r="AP318" s="107">
        <v>38951</v>
      </c>
      <c r="AQ318" s="107">
        <v>40449</v>
      </c>
      <c r="AR318" s="107"/>
      <c r="AS318" s="107">
        <v>37761</v>
      </c>
      <c r="AT318" s="107"/>
      <c r="AU318" s="218">
        <v>37798</v>
      </c>
      <c r="AV318" s="218" t="s">
        <v>70</v>
      </c>
      <c r="AW318" s="204" t="s">
        <v>70</v>
      </c>
      <c r="AX318" s="107"/>
      <c r="AY318" s="107">
        <v>37802</v>
      </c>
      <c r="AZ318" s="107">
        <v>39182</v>
      </c>
      <c r="BA318" s="107">
        <v>39447</v>
      </c>
      <c r="BB318" s="107">
        <v>39673</v>
      </c>
      <c r="BC318" s="107">
        <v>40311</v>
      </c>
      <c r="BD318" s="107">
        <v>40450</v>
      </c>
      <c r="BE318" s="107">
        <v>40746</v>
      </c>
      <c r="BF318" s="107"/>
      <c r="BG318" s="321"/>
      <c r="BH318" s="285" t="s">
        <v>1554</v>
      </c>
    </row>
    <row r="319" spans="1:60" s="61" customFormat="1" ht="20.100000000000001" customHeight="1">
      <c r="A319" s="195">
        <v>314</v>
      </c>
      <c r="B319" s="196" t="s">
        <v>629</v>
      </c>
      <c r="C319" s="65" t="s">
        <v>68</v>
      </c>
      <c r="D319" s="65" t="s">
        <v>73</v>
      </c>
      <c r="E319" s="65" t="s">
        <v>777</v>
      </c>
      <c r="F319" s="65" t="s">
        <v>778</v>
      </c>
      <c r="G319" s="110">
        <v>28129.7</v>
      </c>
      <c r="H319" s="196" t="s">
        <v>779</v>
      </c>
      <c r="I319" s="110">
        <v>21</v>
      </c>
      <c r="J319" s="110">
        <f>SUM(K319:O319)</f>
        <v>472</v>
      </c>
      <c r="K319" s="110"/>
      <c r="L319" s="110">
        <v>236</v>
      </c>
      <c r="M319" s="110">
        <v>236</v>
      </c>
      <c r="N319" s="110"/>
      <c r="O319" s="110"/>
      <c r="P319" s="197">
        <v>542</v>
      </c>
      <c r="Q319" s="197">
        <v>466</v>
      </c>
      <c r="R319" s="197">
        <v>19</v>
      </c>
      <c r="S319" s="197">
        <v>57</v>
      </c>
      <c r="T319" s="197">
        <f t="shared" si="39"/>
        <v>542</v>
      </c>
      <c r="U319" s="110">
        <v>485</v>
      </c>
      <c r="V319" s="110"/>
      <c r="W319" s="110">
        <v>129</v>
      </c>
      <c r="X319" s="110">
        <v>356</v>
      </c>
      <c r="Y319" s="110"/>
      <c r="Z319" s="110"/>
      <c r="AA319" s="110">
        <v>57</v>
      </c>
      <c r="AB319" s="110"/>
      <c r="AC319" s="110">
        <v>57</v>
      </c>
      <c r="AD319" s="110"/>
      <c r="AE319" s="110">
        <f t="shared" si="38"/>
        <v>70</v>
      </c>
      <c r="AF319" s="198">
        <v>0.98</v>
      </c>
      <c r="AG319" s="198">
        <v>2.29</v>
      </c>
      <c r="AH319" s="199">
        <v>479</v>
      </c>
      <c r="AI319" s="199">
        <v>469</v>
      </c>
      <c r="AJ319" s="196" t="s">
        <v>92</v>
      </c>
      <c r="AK319" s="196">
        <v>2005</v>
      </c>
      <c r="AL319" s="196" t="s">
        <v>731</v>
      </c>
      <c r="AM319" s="200" t="s">
        <v>126</v>
      </c>
      <c r="AN319" s="200"/>
      <c r="AO319" s="200"/>
      <c r="AP319" s="107">
        <v>38600</v>
      </c>
      <c r="AQ319" s="107">
        <v>39828</v>
      </c>
      <c r="AR319" s="107"/>
      <c r="AS319" s="107"/>
      <c r="AT319" s="107"/>
      <c r="AU319" s="218">
        <v>37314</v>
      </c>
      <c r="AV319" s="218" t="s">
        <v>70</v>
      </c>
      <c r="AW319" s="204" t="s">
        <v>70</v>
      </c>
      <c r="AX319" s="107"/>
      <c r="AY319" s="107">
        <v>37613</v>
      </c>
      <c r="AZ319" s="107">
        <v>38652</v>
      </c>
      <c r="BA319" s="107">
        <v>38952</v>
      </c>
      <c r="BB319" s="107">
        <v>39190</v>
      </c>
      <c r="BC319" s="107">
        <v>39869</v>
      </c>
      <c r="BD319" s="107">
        <v>39993</v>
      </c>
      <c r="BE319" s="107">
        <v>40085</v>
      </c>
      <c r="BF319" s="107"/>
      <c r="BG319" s="321"/>
      <c r="BH319" s="285" t="s">
        <v>1554</v>
      </c>
    </row>
    <row r="320" spans="1:60" s="61" customFormat="1" ht="20.100000000000001" customHeight="1">
      <c r="A320" s="195">
        <v>315</v>
      </c>
      <c r="B320" s="196" t="s">
        <v>629</v>
      </c>
      <c r="C320" s="65" t="s">
        <v>68</v>
      </c>
      <c r="D320" s="65" t="s">
        <v>73</v>
      </c>
      <c r="E320" s="65" t="s">
        <v>780</v>
      </c>
      <c r="F320" s="65" t="s">
        <v>781</v>
      </c>
      <c r="G320" s="110">
        <v>58935.5</v>
      </c>
      <c r="H320" s="196" t="s">
        <v>782</v>
      </c>
      <c r="I320" s="110">
        <v>31</v>
      </c>
      <c r="J320" s="110">
        <v>848</v>
      </c>
      <c r="K320" s="110"/>
      <c r="L320" s="110">
        <v>424</v>
      </c>
      <c r="M320" s="110">
        <v>424</v>
      </c>
      <c r="N320" s="110"/>
      <c r="O320" s="110"/>
      <c r="P320" s="197">
        <v>1134</v>
      </c>
      <c r="Q320" s="197">
        <v>841</v>
      </c>
      <c r="R320" s="197">
        <v>204</v>
      </c>
      <c r="S320" s="197">
        <v>89</v>
      </c>
      <c r="T320" s="197">
        <f t="shared" si="39"/>
        <v>1134</v>
      </c>
      <c r="U320" s="110">
        <v>1045</v>
      </c>
      <c r="V320" s="110"/>
      <c r="W320" s="110">
        <v>219</v>
      </c>
      <c r="X320" s="110">
        <v>621</v>
      </c>
      <c r="Y320" s="110">
        <v>205</v>
      </c>
      <c r="Z320" s="110"/>
      <c r="AA320" s="110">
        <v>89</v>
      </c>
      <c r="AB320" s="110"/>
      <c r="AC320" s="110">
        <v>89</v>
      </c>
      <c r="AD320" s="110"/>
      <c r="AE320" s="110">
        <f t="shared" si="38"/>
        <v>286</v>
      </c>
      <c r="AF320" s="198">
        <v>0.81</v>
      </c>
      <c r="AG320" s="198">
        <v>2.85</v>
      </c>
      <c r="AH320" s="199">
        <v>863</v>
      </c>
      <c r="AI320" s="199">
        <v>757</v>
      </c>
      <c r="AJ320" s="196" t="s">
        <v>92</v>
      </c>
      <c r="AK320" s="196">
        <v>2005</v>
      </c>
      <c r="AL320" s="196" t="s">
        <v>731</v>
      </c>
      <c r="AM320" s="200" t="s">
        <v>126</v>
      </c>
      <c r="AN320" s="200"/>
      <c r="AO320" s="200"/>
      <c r="AP320" s="107">
        <v>38593</v>
      </c>
      <c r="AQ320" s="107">
        <v>40065</v>
      </c>
      <c r="AR320" s="107"/>
      <c r="AS320" s="107">
        <v>37161</v>
      </c>
      <c r="AT320" s="107"/>
      <c r="AU320" s="218">
        <v>37244</v>
      </c>
      <c r="AV320" s="218" t="s">
        <v>70</v>
      </c>
      <c r="AW320" s="204" t="s">
        <v>70</v>
      </c>
      <c r="AX320" s="107"/>
      <c r="AY320" s="107">
        <v>37596</v>
      </c>
      <c r="AZ320" s="107">
        <v>38699</v>
      </c>
      <c r="BA320" s="107">
        <v>38964</v>
      </c>
      <c r="BB320" s="107">
        <v>39121</v>
      </c>
      <c r="BC320" s="107">
        <v>40122</v>
      </c>
      <c r="BD320" s="107">
        <v>40086</v>
      </c>
      <c r="BE320" s="107">
        <v>40232</v>
      </c>
      <c r="BF320" s="107"/>
      <c r="BG320" s="321"/>
      <c r="BH320" s="285" t="s">
        <v>1554</v>
      </c>
    </row>
    <row r="321" spans="1:60" s="61" customFormat="1" ht="20.100000000000001" customHeight="1">
      <c r="A321" s="195">
        <v>316</v>
      </c>
      <c r="B321" s="196" t="s">
        <v>629</v>
      </c>
      <c r="C321" s="65" t="s">
        <v>68</v>
      </c>
      <c r="D321" s="65" t="s">
        <v>73</v>
      </c>
      <c r="E321" s="65" t="s">
        <v>783</v>
      </c>
      <c r="F321" s="65" t="s">
        <v>784</v>
      </c>
      <c r="G321" s="110">
        <v>28371.9</v>
      </c>
      <c r="H321" s="196" t="s">
        <v>782</v>
      </c>
      <c r="I321" s="110">
        <v>11</v>
      </c>
      <c r="J321" s="110">
        <v>425</v>
      </c>
      <c r="K321" s="110"/>
      <c r="L321" s="110">
        <v>265</v>
      </c>
      <c r="M321" s="110">
        <v>125</v>
      </c>
      <c r="N321" s="110">
        <v>35</v>
      </c>
      <c r="O321" s="110"/>
      <c r="P321" s="197">
        <v>553</v>
      </c>
      <c r="Q321" s="197">
        <v>440</v>
      </c>
      <c r="R321" s="197">
        <v>67</v>
      </c>
      <c r="S321" s="197">
        <v>46</v>
      </c>
      <c r="T321" s="197">
        <f t="shared" si="39"/>
        <v>553</v>
      </c>
      <c r="U321" s="110">
        <v>507</v>
      </c>
      <c r="V321" s="110"/>
      <c r="W321" s="110">
        <v>56</v>
      </c>
      <c r="X321" s="110">
        <v>107</v>
      </c>
      <c r="Y321" s="110">
        <v>344</v>
      </c>
      <c r="Z321" s="110"/>
      <c r="AA321" s="110">
        <v>46</v>
      </c>
      <c r="AB321" s="110"/>
      <c r="AC321" s="110">
        <v>46</v>
      </c>
      <c r="AD321" s="110"/>
      <c r="AE321" s="110">
        <f t="shared" si="38"/>
        <v>128</v>
      </c>
      <c r="AF321" s="198">
        <v>0.88</v>
      </c>
      <c r="AG321" s="198">
        <v>2.4900000000000002</v>
      </c>
      <c r="AH321" s="199">
        <v>446</v>
      </c>
      <c r="AI321" s="199">
        <v>446</v>
      </c>
      <c r="AJ321" s="196" t="s">
        <v>92</v>
      </c>
      <c r="AK321" s="196">
        <v>2005</v>
      </c>
      <c r="AL321" s="196">
        <v>2010</v>
      </c>
      <c r="AM321" s="200" t="s">
        <v>126</v>
      </c>
      <c r="AN321" s="200"/>
      <c r="AO321" s="200"/>
      <c r="AP321" s="107">
        <v>38593</v>
      </c>
      <c r="AQ321" s="107">
        <v>40213</v>
      </c>
      <c r="AR321" s="107"/>
      <c r="AS321" s="107">
        <v>37224</v>
      </c>
      <c r="AT321" s="107"/>
      <c r="AU321" s="218">
        <v>37282</v>
      </c>
      <c r="AV321" s="218" t="s">
        <v>70</v>
      </c>
      <c r="AW321" s="204" t="s">
        <v>70</v>
      </c>
      <c r="AX321" s="107"/>
      <c r="AY321" s="107">
        <v>37432</v>
      </c>
      <c r="AZ321" s="107">
        <v>38708</v>
      </c>
      <c r="BA321" s="107">
        <v>39017</v>
      </c>
      <c r="BB321" s="107">
        <v>39289</v>
      </c>
      <c r="BC321" s="107">
        <v>40234</v>
      </c>
      <c r="BD321" s="107">
        <v>40221</v>
      </c>
      <c r="BE321" s="107">
        <v>40298</v>
      </c>
      <c r="BF321" s="107"/>
      <c r="BG321" s="321"/>
      <c r="BH321" s="285" t="s">
        <v>1554</v>
      </c>
    </row>
    <row r="322" spans="1:60" s="61" customFormat="1" ht="20.100000000000001" customHeight="1">
      <c r="A322" s="195">
        <v>317</v>
      </c>
      <c r="B322" s="196" t="s">
        <v>629</v>
      </c>
      <c r="C322" s="65" t="s">
        <v>68</v>
      </c>
      <c r="D322" s="65" t="s">
        <v>73</v>
      </c>
      <c r="E322" s="65" t="s">
        <v>785</v>
      </c>
      <c r="F322" s="65" t="s">
        <v>786</v>
      </c>
      <c r="G322" s="110">
        <v>18784</v>
      </c>
      <c r="H322" s="196" t="s">
        <v>737</v>
      </c>
      <c r="I322" s="110">
        <v>63</v>
      </c>
      <c r="J322" s="110">
        <v>313</v>
      </c>
      <c r="K322" s="110"/>
      <c r="L322" s="110">
        <v>125</v>
      </c>
      <c r="M322" s="110">
        <v>125</v>
      </c>
      <c r="N322" s="110">
        <v>63</v>
      </c>
      <c r="O322" s="110"/>
      <c r="P322" s="197">
        <v>392</v>
      </c>
      <c r="Q322" s="197">
        <v>230</v>
      </c>
      <c r="R322" s="197">
        <v>130</v>
      </c>
      <c r="S322" s="197">
        <v>32</v>
      </c>
      <c r="T322" s="197">
        <f t="shared" si="39"/>
        <v>392</v>
      </c>
      <c r="U322" s="110">
        <v>360</v>
      </c>
      <c r="V322" s="110"/>
      <c r="W322" s="110">
        <v>48</v>
      </c>
      <c r="X322" s="110">
        <v>236</v>
      </c>
      <c r="Y322" s="110">
        <v>76</v>
      </c>
      <c r="Z322" s="110"/>
      <c r="AA322" s="110">
        <v>32</v>
      </c>
      <c r="AB322" s="110"/>
      <c r="AC322" s="110">
        <v>32</v>
      </c>
      <c r="AD322" s="110"/>
      <c r="AE322" s="110">
        <f t="shared" si="38"/>
        <v>79</v>
      </c>
      <c r="AF322" s="198">
        <v>1.28</v>
      </c>
      <c r="AG322" s="198">
        <v>2.62</v>
      </c>
      <c r="AH322" s="199">
        <v>271</v>
      </c>
      <c r="AI322" s="199">
        <v>230</v>
      </c>
      <c r="AJ322" s="196" t="s">
        <v>92</v>
      </c>
      <c r="AK322" s="196">
        <v>2005</v>
      </c>
      <c r="AL322" s="196" t="s">
        <v>731</v>
      </c>
      <c r="AM322" s="200" t="s">
        <v>126</v>
      </c>
      <c r="AN322" s="200"/>
      <c r="AO322" s="200"/>
      <c r="AP322" s="107">
        <v>38705</v>
      </c>
      <c r="AQ322" s="107"/>
      <c r="AR322" s="107"/>
      <c r="AS322" s="107">
        <v>36434</v>
      </c>
      <c r="AT322" s="107"/>
      <c r="AU322" s="218">
        <v>36465</v>
      </c>
      <c r="AV322" s="218" t="s">
        <v>70</v>
      </c>
      <c r="AW322" s="204" t="s">
        <v>70</v>
      </c>
      <c r="AX322" s="107"/>
      <c r="AY322" s="107">
        <v>37796</v>
      </c>
      <c r="AZ322" s="107">
        <v>38831</v>
      </c>
      <c r="BA322" s="107">
        <v>39017</v>
      </c>
      <c r="BB322" s="107">
        <v>39346</v>
      </c>
      <c r="BC322" s="107">
        <v>40129</v>
      </c>
      <c r="BD322" s="107">
        <v>40149</v>
      </c>
      <c r="BE322" s="107">
        <v>40317</v>
      </c>
      <c r="BF322" s="107"/>
      <c r="BG322" s="321"/>
      <c r="BH322" s="285" t="s">
        <v>1554</v>
      </c>
    </row>
    <row r="323" spans="1:60" s="61" customFormat="1" ht="20.100000000000001" customHeight="1">
      <c r="A323" s="195">
        <v>318</v>
      </c>
      <c r="B323" s="196" t="s">
        <v>629</v>
      </c>
      <c r="C323" s="65" t="s">
        <v>68</v>
      </c>
      <c r="D323" s="65" t="s">
        <v>73</v>
      </c>
      <c r="E323" s="65" t="s">
        <v>787</v>
      </c>
      <c r="F323" s="65" t="s">
        <v>788</v>
      </c>
      <c r="G323" s="110">
        <v>11850</v>
      </c>
      <c r="H323" s="196" t="s">
        <v>737</v>
      </c>
      <c r="I323" s="110">
        <v>9</v>
      </c>
      <c r="J323" s="110">
        <v>224</v>
      </c>
      <c r="K323" s="110"/>
      <c r="L323" s="110"/>
      <c r="M323" s="110">
        <v>224</v>
      </c>
      <c r="N323" s="110"/>
      <c r="O323" s="110"/>
      <c r="P323" s="197">
        <v>281</v>
      </c>
      <c r="Q323" s="197">
        <v>144</v>
      </c>
      <c r="R323" s="197">
        <v>127</v>
      </c>
      <c r="S323" s="197">
        <v>10</v>
      </c>
      <c r="T323" s="197">
        <f t="shared" si="39"/>
        <v>281</v>
      </c>
      <c r="U323" s="110">
        <v>271</v>
      </c>
      <c r="V323" s="110"/>
      <c r="W323" s="110">
        <v>30</v>
      </c>
      <c r="X323" s="110">
        <v>241</v>
      </c>
      <c r="Y323" s="110"/>
      <c r="Z323" s="110"/>
      <c r="AA323" s="110">
        <v>10</v>
      </c>
      <c r="AB323" s="110"/>
      <c r="AC323" s="110">
        <v>10</v>
      </c>
      <c r="AD323" s="110"/>
      <c r="AE323" s="110">
        <f t="shared" si="38"/>
        <v>57</v>
      </c>
      <c r="AF323" s="198">
        <v>1.33</v>
      </c>
      <c r="AG323" s="198">
        <v>2.5299999999999998</v>
      </c>
      <c r="AH323" s="199">
        <v>230</v>
      </c>
      <c r="AI323" s="199">
        <v>144</v>
      </c>
      <c r="AJ323" s="196" t="s">
        <v>92</v>
      </c>
      <c r="AK323" s="196">
        <v>2005</v>
      </c>
      <c r="AL323" s="196" t="s">
        <v>744</v>
      </c>
      <c r="AM323" s="200" t="s">
        <v>126</v>
      </c>
      <c r="AN323" s="200"/>
      <c r="AO323" s="200"/>
      <c r="AP323" s="107">
        <v>38474</v>
      </c>
      <c r="AQ323" s="107">
        <v>40840</v>
      </c>
      <c r="AR323" s="107">
        <v>37964</v>
      </c>
      <c r="AS323" s="107">
        <v>37798</v>
      </c>
      <c r="AT323" s="107"/>
      <c r="AU323" s="218">
        <v>37896</v>
      </c>
      <c r="AV323" s="218" t="s">
        <v>70</v>
      </c>
      <c r="AW323" s="204" t="s">
        <v>70</v>
      </c>
      <c r="AX323" s="107"/>
      <c r="AY323" s="107">
        <v>38475</v>
      </c>
      <c r="AZ323" s="107">
        <v>38650</v>
      </c>
      <c r="BA323" s="107">
        <v>39398</v>
      </c>
      <c r="BB323" s="107">
        <v>39896</v>
      </c>
      <c r="BC323" s="107">
        <v>40777</v>
      </c>
      <c r="BD323" s="107">
        <v>40843</v>
      </c>
      <c r="BE323" s="107">
        <v>40911</v>
      </c>
      <c r="BF323" s="107"/>
      <c r="BG323" s="321"/>
      <c r="BH323" s="285" t="s">
        <v>1554</v>
      </c>
    </row>
    <row r="324" spans="1:60" s="61" customFormat="1" ht="20.100000000000001" customHeight="1">
      <c r="A324" s="195">
        <v>319</v>
      </c>
      <c r="B324" s="196" t="s">
        <v>629</v>
      </c>
      <c r="C324" s="65" t="s">
        <v>137</v>
      </c>
      <c r="D324" s="65" t="s">
        <v>85</v>
      </c>
      <c r="E324" s="65" t="s">
        <v>789</v>
      </c>
      <c r="F324" s="65" t="s">
        <v>790</v>
      </c>
      <c r="G324" s="110">
        <v>5135</v>
      </c>
      <c r="H324" s="211" t="s">
        <v>791</v>
      </c>
      <c r="I324" s="110">
        <v>19</v>
      </c>
      <c r="J324" s="110">
        <f>SUM(K324:O324)</f>
        <v>137</v>
      </c>
      <c r="K324" s="110"/>
      <c r="L324" s="110">
        <v>136</v>
      </c>
      <c r="M324" s="110"/>
      <c r="N324" s="110"/>
      <c r="O324" s="110">
        <v>1</v>
      </c>
      <c r="P324" s="197">
        <v>230</v>
      </c>
      <c r="Q324" s="197">
        <v>119</v>
      </c>
      <c r="R324" s="197">
        <v>111</v>
      </c>
      <c r="S324" s="197"/>
      <c r="T324" s="197">
        <f t="shared" si="39"/>
        <v>230</v>
      </c>
      <c r="U324" s="110">
        <v>230</v>
      </c>
      <c r="V324" s="110"/>
      <c r="W324" s="110">
        <v>92</v>
      </c>
      <c r="X324" s="110">
        <v>138</v>
      </c>
      <c r="Y324" s="110"/>
      <c r="Z324" s="110"/>
      <c r="AA324" s="110"/>
      <c r="AB324" s="110"/>
      <c r="AC324" s="110"/>
      <c r="AD324" s="110"/>
      <c r="AE324" s="110">
        <f t="shared" si="38"/>
        <v>93</v>
      </c>
      <c r="AF324" s="198" t="s">
        <v>426</v>
      </c>
      <c r="AG324" s="198">
        <v>4.5</v>
      </c>
      <c r="AH324" s="199">
        <v>139</v>
      </c>
      <c r="AI324" s="199">
        <v>133</v>
      </c>
      <c r="AJ324" s="196" t="s">
        <v>92</v>
      </c>
      <c r="AK324" s="196" t="s">
        <v>720</v>
      </c>
      <c r="AL324" s="196" t="s">
        <v>716</v>
      </c>
      <c r="AM324" s="200">
        <v>41933</v>
      </c>
      <c r="AN324" s="200"/>
      <c r="AO324" s="107">
        <v>42160</v>
      </c>
      <c r="AP324" s="107">
        <v>42285</v>
      </c>
      <c r="AQ324" s="107"/>
      <c r="AR324" s="107">
        <v>42353</v>
      </c>
      <c r="AS324" s="107"/>
      <c r="AT324" s="107"/>
      <c r="AU324" s="218"/>
      <c r="AV324" s="218" t="s">
        <v>70</v>
      </c>
      <c r="AW324" s="204" t="s">
        <v>70</v>
      </c>
      <c r="AX324" s="107"/>
      <c r="AY324" s="107">
        <v>42542</v>
      </c>
      <c r="AZ324" s="107">
        <v>43496</v>
      </c>
      <c r="BA324" s="107">
        <v>43974</v>
      </c>
      <c r="BB324" s="107">
        <v>44068</v>
      </c>
      <c r="BC324" s="107">
        <v>44085</v>
      </c>
      <c r="BD324" s="107">
        <v>45154</v>
      </c>
      <c r="BE324" s="107">
        <v>45807</v>
      </c>
      <c r="BF324" s="107">
        <v>46094</v>
      </c>
      <c r="BG324" s="321"/>
      <c r="BH324" s="285" t="s">
        <v>1559</v>
      </c>
    </row>
    <row r="325" spans="1:60" s="61" customFormat="1" ht="20.100000000000001" customHeight="1">
      <c r="A325" s="195">
        <v>320</v>
      </c>
      <c r="B325" s="196" t="s">
        <v>629</v>
      </c>
      <c r="C325" s="65" t="s">
        <v>137</v>
      </c>
      <c r="D325" s="65" t="s">
        <v>85</v>
      </c>
      <c r="E325" s="65" t="s">
        <v>792</v>
      </c>
      <c r="F325" s="65" t="s">
        <v>793</v>
      </c>
      <c r="G325" s="110">
        <v>25158</v>
      </c>
      <c r="H325" s="196" t="s">
        <v>794</v>
      </c>
      <c r="I325" s="110">
        <v>102</v>
      </c>
      <c r="J325" s="110">
        <f>SUM(K325:O325)</f>
        <v>519</v>
      </c>
      <c r="K325" s="110">
        <v>260</v>
      </c>
      <c r="L325" s="110">
        <v>156</v>
      </c>
      <c r="M325" s="110">
        <v>103</v>
      </c>
      <c r="N325" s="110"/>
      <c r="O325" s="110"/>
      <c r="P325" s="197">
        <v>558</v>
      </c>
      <c r="Q325" s="197">
        <v>263</v>
      </c>
      <c r="R325" s="197">
        <v>250</v>
      </c>
      <c r="S325" s="197">
        <v>45</v>
      </c>
      <c r="T325" s="197">
        <f t="shared" si="39"/>
        <v>558</v>
      </c>
      <c r="U325" s="110">
        <v>513</v>
      </c>
      <c r="V325" s="110">
        <v>10</v>
      </c>
      <c r="W325" s="110">
        <v>276</v>
      </c>
      <c r="X325" s="110">
        <v>227</v>
      </c>
      <c r="Y325" s="110"/>
      <c r="Z325" s="110"/>
      <c r="AA325" s="110">
        <v>45</v>
      </c>
      <c r="AB325" s="110">
        <v>45</v>
      </c>
      <c r="AC325" s="110"/>
      <c r="AD325" s="110"/>
      <c r="AE325" s="110">
        <f t="shared" si="38"/>
        <v>39</v>
      </c>
      <c r="AF325" s="198" t="s">
        <v>426</v>
      </c>
      <c r="AG325" s="198">
        <v>2.48</v>
      </c>
      <c r="AH325" s="199">
        <v>268</v>
      </c>
      <c r="AI325" s="199">
        <v>234</v>
      </c>
      <c r="AJ325" s="196" t="s">
        <v>92</v>
      </c>
      <c r="AK325" s="196" t="s">
        <v>731</v>
      </c>
      <c r="AL325" s="196">
        <v>2022</v>
      </c>
      <c r="AM325" s="200">
        <v>38936</v>
      </c>
      <c r="AN325" s="202" t="s">
        <v>563</v>
      </c>
      <c r="AO325" s="200">
        <v>39896</v>
      </c>
      <c r="AP325" s="107">
        <v>40149</v>
      </c>
      <c r="AQ325" s="107">
        <v>42965</v>
      </c>
      <c r="AR325" s="107">
        <v>38947</v>
      </c>
      <c r="AS325" s="107"/>
      <c r="AT325" s="107"/>
      <c r="AU325" s="218"/>
      <c r="AV325" s="218" t="s">
        <v>70</v>
      </c>
      <c r="AW325" s="204" t="s">
        <v>70</v>
      </c>
      <c r="AX325" s="107"/>
      <c r="AY325" s="107">
        <v>40322</v>
      </c>
      <c r="AZ325" s="107">
        <v>42711</v>
      </c>
      <c r="BA325" s="107">
        <v>43164</v>
      </c>
      <c r="BB325" s="108">
        <v>43746</v>
      </c>
      <c r="BC325" s="108">
        <v>43748</v>
      </c>
      <c r="BD325" s="107">
        <v>44747</v>
      </c>
      <c r="BE325" s="107">
        <v>45056</v>
      </c>
      <c r="BF325" s="107">
        <v>45471</v>
      </c>
      <c r="BG325" s="321"/>
      <c r="BH325" s="285" t="s">
        <v>1555</v>
      </c>
    </row>
    <row r="326" spans="1:60" s="61" customFormat="1" ht="20.100000000000001" customHeight="1">
      <c r="A326" s="195">
        <v>321</v>
      </c>
      <c r="B326" s="196" t="s">
        <v>629</v>
      </c>
      <c r="C326" s="65" t="s">
        <v>137</v>
      </c>
      <c r="D326" s="65" t="s">
        <v>85</v>
      </c>
      <c r="E326" s="65" t="s">
        <v>795</v>
      </c>
      <c r="F326" s="65" t="s">
        <v>796</v>
      </c>
      <c r="G326" s="110">
        <v>48205.1</v>
      </c>
      <c r="H326" s="196" t="s">
        <v>714</v>
      </c>
      <c r="I326" s="110">
        <v>175</v>
      </c>
      <c r="J326" s="110">
        <f>SUM(K326:O326)</f>
        <v>405</v>
      </c>
      <c r="K326" s="110">
        <v>203</v>
      </c>
      <c r="L326" s="110">
        <v>122</v>
      </c>
      <c r="M326" s="110">
        <v>80</v>
      </c>
      <c r="N326" s="110"/>
      <c r="O326" s="110"/>
      <c r="P326" s="197">
        <v>1021</v>
      </c>
      <c r="Q326" s="197">
        <v>388</v>
      </c>
      <c r="R326" s="197">
        <v>571</v>
      </c>
      <c r="S326" s="197">
        <v>62</v>
      </c>
      <c r="T326" s="197">
        <f t="shared" si="39"/>
        <v>1021</v>
      </c>
      <c r="U326" s="110">
        <v>959</v>
      </c>
      <c r="V326" s="110">
        <v>28</v>
      </c>
      <c r="W326" s="110">
        <v>514</v>
      </c>
      <c r="X326" s="110">
        <v>417</v>
      </c>
      <c r="Y326" s="110"/>
      <c r="Z326" s="110"/>
      <c r="AA326" s="110">
        <v>62</v>
      </c>
      <c r="AB326" s="110">
        <v>62</v>
      </c>
      <c r="AC326" s="110"/>
      <c r="AD326" s="110"/>
      <c r="AE326" s="110">
        <f t="shared" si="38"/>
        <v>616</v>
      </c>
      <c r="AF326" s="198" t="s">
        <v>426</v>
      </c>
      <c r="AG326" s="198">
        <v>2.5099999999999998</v>
      </c>
      <c r="AH326" s="199">
        <v>405</v>
      </c>
      <c r="AI326" s="199">
        <v>374</v>
      </c>
      <c r="AJ326" s="196" t="s">
        <v>92</v>
      </c>
      <c r="AK326" s="196" t="s">
        <v>776</v>
      </c>
      <c r="AL326" s="196">
        <v>2022</v>
      </c>
      <c r="AM326" s="200">
        <v>38936</v>
      </c>
      <c r="AN326" s="202"/>
      <c r="AO326" s="107"/>
      <c r="AP326" s="107">
        <v>40191</v>
      </c>
      <c r="AQ326" s="107">
        <v>42457</v>
      </c>
      <c r="AR326" s="107">
        <v>38945</v>
      </c>
      <c r="AS326" s="107"/>
      <c r="AT326" s="107"/>
      <c r="AU326" s="218"/>
      <c r="AV326" s="218" t="s">
        <v>70</v>
      </c>
      <c r="AW326" s="204" t="s">
        <v>70</v>
      </c>
      <c r="AX326" s="107"/>
      <c r="AY326" s="107">
        <v>40736</v>
      </c>
      <c r="AZ326" s="107">
        <v>42151</v>
      </c>
      <c r="BA326" s="107">
        <v>42699</v>
      </c>
      <c r="BB326" s="108">
        <v>43796</v>
      </c>
      <c r="BC326" s="107">
        <v>43802</v>
      </c>
      <c r="BD326" s="107">
        <v>44803</v>
      </c>
      <c r="BE326" s="107">
        <v>45224</v>
      </c>
      <c r="BF326" s="107">
        <v>45470</v>
      </c>
      <c r="BG326" s="209"/>
      <c r="BH326" s="285" t="s">
        <v>1559</v>
      </c>
    </row>
    <row r="327" spans="1:60" s="61" customFormat="1" ht="20.100000000000001" customHeight="1">
      <c r="A327" s="195">
        <v>322</v>
      </c>
      <c r="B327" s="196" t="s">
        <v>629</v>
      </c>
      <c r="C327" s="65" t="s">
        <v>137</v>
      </c>
      <c r="D327" s="65" t="s">
        <v>85</v>
      </c>
      <c r="E327" s="65" t="s">
        <v>797</v>
      </c>
      <c r="F327" s="65" t="s">
        <v>798</v>
      </c>
      <c r="G327" s="110">
        <v>116663.3</v>
      </c>
      <c r="H327" s="196" t="s">
        <v>799</v>
      </c>
      <c r="I327" s="110">
        <v>354</v>
      </c>
      <c r="J327" s="110">
        <v>2559</v>
      </c>
      <c r="K327" s="110">
        <v>1280</v>
      </c>
      <c r="L327" s="110">
        <v>718</v>
      </c>
      <c r="M327" s="110">
        <v>447</v>
      </c>
      <c r="N327" s="110">
        <v>89</v>
      </c>
      <c r="O327" s="110">
        <v>25</v>
      </c>
      <c r="P327" s="197">
        <v>2886</v>
      </c>
      <c r="Q327" s="197">
        <v>1332</v>
      </c>
      <c r="R327" s="197">
        <v>1228</v>
      </c>
      <c r="S327" s="197">
        <v>326</v>
      </c>
      <c r="T327" s="197">
        <f t="shared" si="39"/>
        <v>2886</v>
      </c>
      <c r="U327" s="110">
        <v>2560</v>
      </c>
      <c r="V327" s="110">
        <v>31</v>
      </c>
      <c r="W327" s="110">
        <v>1240</v>
      </c>
      <c r="X327" s="110">
        <v>1199</v>
      </c>
      <c r="Y327" s="110">
        <v>90</v>
      </c>
      <c r="Z327" s="110"/>
      <c r="AA327" s="110">
        <v>326</v>
      </c>
      <c r="AB327" s="110">
        <v>311</v>
      </c>
      <c r="AC327" s="110">
        <v>15</v>
      </c>
      <c r="AD327" s="110"/>
      <c r="AE327" s="110">
        <f t="shared" si="38"/>
        <v>327</v>
      </c>
      <c r="AF327" s="198" t="s">
        <v>426</v>
      </c>
      <c r="AG327" s="198">
        <v>2.8279999999999998</v>
      </c>
      <c r="AH327" s="199">
        <v>1499</v>
      </c>
      <c r="AI327" s="199">
        <v>1226</v>
      </c>
      <c r="AJ327" s="196" t="s">
        <v>92</v>
      </c>
      <c r="AK327" s="196" t="s">
        <v>776</v>
      </c>
      <c r="AL327" s="196">
        <v>2023</v>
      </c>
      <c r="AM327" s="200">
        <v>38936</v>
      </c>
      <c r="AN327" s="200"/>
      <c r="AO327" s="107">
        <v>40382</v>
      </c>
      <c r="AP327" s="107">
        <v>40382</v>
      </c>
      <c r="AQ327" s="107">
        <v>45608</v>
      </c>
      <c r="AR327" s="107">
        <v>39426</v>
      </c>
      <c r="AS327" s="107"/>
      <c r="AT327" s="107"/>
      <c r="AU327" s="218"/>
      <c r="AV327" s="218" t="s">
        <v>70</v>
      </c>
      <c r="AW327" s="204" t="s">
        <v>70</v>
      </c>
      <c r="AX327" s="107"/>
      <c r="AY327" s="107">
        <v>40960</v>
      </c>
      <c r="AZ327" s="107">
        <v>42208</v>
      </c>
      <c r="BA327" s="107">
        <v>42793</v>
      </c>
      <c r="BB327" s="108">
        <v>44126</v>
      </c>
      <c r="BC327" s="108">
        <v>44924</v>
      </c>
      <c r="BD327" s="108">
        <v>45804</v>
      </c>
      <c r="BE327" s="107">
        <v>45831</v>
      </c>
      <c r="BF327" s="107">
        <v>45927</v>
      </c>
      <c r="BG327" s="321"/>
      <c r="BH327" s="285" t="s">
        <v>1552</v>
      </c>
    </row>
    <row r="328" spans="1:60" s="61" customFormat="1" ht="20.100000000000001" customHeight="1">
      <c r="A328" s="195">
        <v>323</v>
      </c>
      <c r="B328" s="196" t="s">
        <v>629</v>
      </c>
      <c r="C328" s="65" t="s">
        <v>137</v>
      </c>
      <c r="D328" s="65" t="s">
        <v>85</v>
      </c>
      <c r="E328" s="65" t="s">
        <v>800</v>
      </c>
      <c r="F328" s="65" t="s">
        <v>801</v>
      </c>
      <c r="G328" s="110">
        <v>133419.6</v>
      </c>
      <c r="H328" s="196" t="s">
        <v>802</v>
      </c>
      <c r="I328" s="110">
        <v>427</v>
      </c>
      <c r="J328" s="110">
        <f>SUM(K328:O328)</f>
        <v>2229</v>
      </c>
      <c r="K328" s="110">
        <v>1115</v>
      </c>
      <c r="L328" s="110">
        <v>635</v>
      </c>
      <c r="M328" s="110">
        <v>446</v>
      </c>
      <c r="N328" s="110">
        <v>24</v>
      </c>
      <c r="O328" s="110">
        <v>9</v>
      </c>
      <c r="P328" s="197">
        <v>2737</v>
      </c>
      <c r="Q328" s="197">
        <v>1336</v>
      </c>
      <c r="R328" s="197">
        <v>1226</v>
      </c>
      <c r="S328" s="197">
        <v>175</v>
      </c>
      <c r="T328" s="197">
        <f t="shared" ref="T328:T358" si="40">U328+AA328</f>
        <v>2737</v>
      </c>
      <c r="U328" s="110">
        <v>2562</v>
      </c>
      <c r="V328" s="110">
        <v>169</v>
      </c>
      <c r="W328" s="110">
        <v>1287</v>
      </c>
      <c r="X328" s="110">
        <v>1004</v>
      </c>
      <c r="Y328" s="110">
        <v>102</v>
      </c>
      <c r="Z328" s="110"/>
      <c r="AA328" s="110">
        <v>175</v>
      </c>
      <c r="AB328" s="110">
        <v>175</v>
      </c>
      <c r="AC328" s="110"/>
      <c r="AD328" s="110"/>
      <c r="AE328" s="110">
        <f t="shared" si="38"/>
        <v>508</v>
      </c>
      <c r="AF328" s="198" t="s">
        <v>426</v>
      </c>
      <c r="AG328" s="198">
        <v>2.48</v>
      </c>
      <c r="AH328" s="199">
        <v>1463</v>
      </c>
      <c r="AI328" s="199">
        <v>1251</v>
      </c>
      <c r="AJ328" s="196" t="s">
        <v>92</v>
      </c>
      <c r="AK328" s="196" t="s">
        <v>731</v>
      </c>
      <c r="AL328" s="196">
        <v>2023</v>
      </c>
      <c r="AM328" s="200">
        <v>38936</v>
      </c>
      <c r="AN328" s="202"/>
      <c r="AO328" s="200">
        <v>40177</v>
      </c>
      <c r="AP328" s="107">
        <v>40177</v>
      </c>
      <c r="AQ328" s="107">
        <v>44012</v>
      </c>
      <c r="AR328" s="107">
        <v>39252</v>
      </c>
      <c r="AS328" s="107"/>
      <c r="AT328" s="107"/>
      <c r="AU328" s="218"/>
      <c r="AV328" s="218" t="s">
        <v>70</v>
      </c>
      <c r="AW328" s="204" t="s">
        <v>70</v>
      </c>
      <c r="AX328" s="107"/>
      <c r="AY328" s="107">
        <v>40749</v>
      </c>
      <c r="AZ328" s="107">
        <v>42269</v>
      </c>
      <c r="BA328" s="107">
        <v>42698</v>
      </c>
      <c r="BB328" s="107">
        <v>43451</v>
      </c>
      <c r="BC328" s="107">
        <v>43454</v>
      </c>
      <c r="BD328" s="107">
        <v>45174</v>
      </c>
      <c r="BE328" s="107">
        <v>45384</v>
      </c>
      <c r="BF328" s="107">
        <v>45554</v>
      </c>
      <c r="BG328" s="321"/>
      <c r="BH328" s="285" t="s">
        <v>1558</v>
      </c>
    </row>
    <row r="329" spans="1:60" s="61" customFormat="1" ht="20.100000000000001" customHeight="1">
      <c r="A329" s="195">
        <v>324</v>
      </c>
      <c r="B329" s="196" t="s">
        <v>629</v>
      </c>
      <c r="C329" s="65" t="s">
        <v>137</v>
      </c>
      <c r="D329" s="65" t="s">
        <v>85</v>
      </c>
      <c r="E329" s="65" t="s">
        <v>803</v>
      </c>
      <c r="F329" s="65" t="s">
        <v>804</v>
      </c>
      <c r="G329" s="110">
        <v>184607</v>
      </c>
      <c r="H329" s="196" t="s">
        <v>730</v>
      </c>
      <c r="I329" s="110">
        <v>721</v>
      </c>
      <c r="J329" s="110">
        <f>SUM(K329:O329)</f>
        <v>2585</v>
      </c>
      <c r="K329" s="110">
        <v>1236</v>
      </c>
      <c r="L329" s="110">
        <v>721</v>
      </c>
      <c r="M329" s="110">
        <v>507</v>
      </c>
      <c r="N329" s="110">
        <v>101</v>
      </c>
      <c r="O329" s="110">
        <v>20</v>
      </c>
      <c r="P329" s="197">
        <v>3850</v>
      </c>
      <c r="Q329" s="197">
        <v>1694</v>
      </c>
      <c r="R329" s="197">
        <v>1963</v>
      </c>
      <c r="S329" s="197">
        <v>193</v>
      </c>
      <c r="T329" s="197">
        <f t="shared" si="40"/>
        <v>3850</v>
      </c>
      <c r="U329" s="110">
        <v>3657</v>
      </c>
      <c r="V329" s="110">
        <v>463</v>
      </c>
      <c r="W329" s="110">
        <v>2026</v>
      </c>
      <c r="X329" s="110">
        <v>1168</v>
      </c>
      <c r="Y329" s="110"/>
      <c r="Z329" s="110"/>
      <c r="AA329" s="110">
        <v>193</v>
      </c>
      <c r="AB329" s="110">
        <v>193</v>
      </c>
      <c r="AC329" s="110"/>
      <c r="AD329" s="110"/>
      <c r="AE329" s="110">
        <f t="shared" si="38"/>
        <v>1265</v>
      </c>
      <c r="AF329" s="198" t="s">
        <v>426</v>
      </c>
      <c r="AG329" s="198">
        <v>2.65</v>
      </c>
      <c r="AH329" s="199">
        <v>1838</v>
      </c>
      <c r="AI329" s="199">
        <v>1500</v>
      </c>
      <c r="AJ329" s="196" t="s">
        <v>92</v>
      </c>
      <c r="AK329" s="196" t="s">
        <v>776</v>
      </c>
      <c r="AL329" s="196">
        <v>2021</v>
      </c>
      <c r="AM329" s="200">
        <v>38936</v>
      </c>
      <c r="AN329" s="200"/>
      <c r="AO329" s="107"/>
      <c r="AP329" s="107">
        <v>40422</v>
      </c>
      <c r="AQ329" s="107">
        <v>42324</v>
      </c>
      <c r="AR329" s="107">
        <v>39140</v>
      </c>
      <c r="AS329" s="107"/>
      <c r="AT329" s="107"/>
      <c r="AU329" s="218"/>
      <c r="AV329" s="218" t="s">
        <v>70</v>
      </c>
      <c r="AW329" s="204" t="s">
        <v>70</v>
      </c>
      <c r="AX329" s="107"/>
      <c r="AY329" s="107">
        <v>41058</v>
      </c>
      <c r="AZ329" s="227">
        <v>42157</v>
      </c>
      <c r="BA329" s="107">
        <v>42482</v>
      </c>
      <c r="BB329" s="227">
        <v>44545</v>
      </c>
      <c r="BC329" s="227">
        <v>44697</v>
      </c>
      <c r="BD329" s="227">
        <v>45559</v>
      </c>
      <c r="BE329" s="108">
        <v>45631</v>
      </c>
      <c r="BF329" s="107">
        <v>45825</v>
      </c>
      <c r="BG329" s="328"/>
      <c r="BH329" s="285" t="s">
        <v>1555</v>
      </c>
    </row>
    <row r="330" spans="1:60" s="61" customFormat="1" ht="20.100000000000001" customHeight="1">
      <c r="A330" s="195">
        <v>325</v>
      </c>
      <c r="B330" s="196" t="s">
        <v>629</v>
      </c>
      <c r="C330" s="65" t="s">
        <v>137</v>
      </c>
      <c r="D330" s="65" t="s">
        <v>85</v>
      </c>
      <c r="E330" s="65" t="s">
        <v>805</v>
      </c>
      <c r="F330" s="65" t="s">
        <v>806</v>
      </c>
      <c r="G330" s="110">
        <v>66682.2</v>
      </c>
      <c r="H330" s="196" t="s">
        <v>807</v>
      </c>
      <c r="I330" s="110">
        <v>215</v>
      </c>
      <c r="J330" s="110">
        <f>SUM(K330:O330)</f>
        <v>1068</v>
      </c>
      <c r="K330" s="110">
        <v>534</v>
      </c>
      <c r="L330" s="110">
        <v>294</v>
      </c>
      <c r="M330" s="110">
        <v>214</v>
      </c>
      <c r="N330" s="110">
        <v>26</v>
      </c>
      <c r="O330" s="110"/>
      <c r="P330" s="197">
        <v>1394</v>
      </c>
      <c r="Q330" s="197">
        <v>488</v>
      </c>
      <c r="R330" s="197">
        <v>792</v>
      </c>
      <c r="S330" s="197">
        <v>114</v>
      </c>
      <c r="T330" s="197">
        <f t="shared" si="40"/>
        <v>1394</v>
      </c>
      <c r="U330" s="110">
        <v>1280</v>
      </c>
      <c r="V330" s="110">
        <v>32</v>
      </c>
      <c r="W330" s="110">
        <v>602</v>
      </c>
      <c r="X330" s="110">
        <v>607</v>
      </c>
      <c r="Y330" s="110">
        <v>39</v>
      </c>
      <c r="Z330" s="110"/>
      <c r="AA330" s="110">
        <v>114</v>
      </c>
      <c r="AB330" s="110">
        <v>114</v>
      </c>
      <c r="AC330" s="110"/>
      <c r="AD330" s="110"/>
      <c r="AE330" s="110">
        <f t="shared" si="38"/>
        <v>326</v>
      </c>
      <c r="AF330" s="198" t="s">
        <v>426</v>
      </c>
      <c r="AG330" s="198">
        <v>2.4</v>
      </c>
      <c r="AH330" s="199">
        <v>645</v>
      </c>
      <c r="AI330" s="199">
        <v>482</v>
      </c>
      <c r="AJ330" s="196" t="s">
        <v>92</v>
      </c>
      <c r="AK330" s="196" t="s">
        <v>715</v>
      </c>
      <c r="AL330" s="196">
        <v>2021</v>
      </c>
      <c r="AM330" s="200">
        <v>38936</v>
      </c>
      <c r="AN330" s="200"/>
      <c r="AO330" s="107">
        <v>39794</v>
      </c>
      <c r="AP330" s="107">
        <v>39794</v>
      </c>
      <c r="AQ330" s="107">
        <v>44307</v>
      </c>
      <c r="AR330" s="107">
        <v>38945</v>
      </c>
      <c r="AS330" s="107"/>
      <c r="AT330" s="107"/>
      <c r="AU330" s="218"/>
      <c r="AV330" s="218" t="s">
        <v>70</v>
      </c>
      <c r="AW330" s="204" t="s">
        <v>70</v>
      </c>
      <c r="AX330" s="107"/>
      <c r="AY330" s="107">
        <v>40021</v>
      </c>
      <c r="AZ330" s="107">
        <v>40518</v>
      </c>
      <c r="BA330" s="107">
        <v>42312</v>
      </c>
      <c r="BB330" s="107">
        <v>43249</v>
      </c>
      <c r="BC330" s="107">
        <v>43286</v>
      </c>
      <c r="BD330" s="107">
        <v>44476</v>
      </c>
      <c r="BE330" s="107">
        <v>44512</v>
      </c>
      <c r="BF330" s="107">
        <v>45952</v>
      </c>
      <c r="BG330" s="321"/>
      <c r="BH330" s="285" t="s">
        <v>1552</v>
      </c>
    </row>
    <row r="331" spans="1:60" s="77" customFormat="1" ht="20.100000000000001" customHeight="1">
      <c r="A331" s="195">
        <v>326</v>
      </c>
      <c r="B331" s="196" t="s">
        <v>629</v>
      </c>
      <c r="C331" s="65" t="s">
        <v>69</v>
      </c>
      <c r="D331" s="65" t="s">
        <v>73</v>
      </c>
      <c r="E331" s="65" t="s">
        <v>808</v>
      </c>
      <c r="F331" s="65" t="s">
        <v>809</v>
      </c>
      <c r="G331" s="110">
        <v>53382</v>
      </c>
      <c r="H331" s="196" t="s">
        <v>737</v>
      </c>
      <c r="I331" s="110">
        <v>32</v>
      </c>
      <c r="J331" s="110">
        <f>SUM(K331:O331)</f>
        <v>900</v>
      </c>
      <c r="K331" s="110">
        <v>260</v>
      </c>
      <c r="L331" s="110">
        <v>640</v>
      </c>
      <c r="M331" s="110"/>
      <c r="N331" s="110"/>
      <c r="O331" s="110"/>
      <c r="P331" s="197">
        <v>1174</v>
      </c>
      <c r="Q331" s="197">
        <v>797</v>
      </c>
      <c r="R331" s="197">
        <v>341</v>
      </c>
      <c r="S331" s="197">
        <v>36</v>
      </c>
      <c r="T331" s="197">
        <f t="shared" si="40"/>
        <v>1174</v>
      </c>
      <c r="U331" s="110">
        <v>1138</v>
      </c>
      <c r="V331" s="110"/>
      <c r="W331" s="110">
        <v>417</v>
      </c>
      <c r="X331" s="110">
        <v>688</v>
      </c>
      <c r="Y331" s="110">
        <v>33</v>
      </c>
      <c r="Z331" s="110"/>
      <c r="AA331" s="110">
        <v>36</v>
      </c>
      <c r="AB331" s="110"/>
      <c r="AC331" s="110">
        <v>36</v>
      </c>
      <c r="AD331" s="110"/>
      <c r="AE331" s="110">
        <f t="shared" si="38"/>
        <v>274</v>
      </c>
      <c r="AF331" s="198">
        <v>0.92</v>
      </c>
      <c r="AG331" s="198">
        <v>2.74</v>
      </c>
      <c r="AH331" s="199">
        <v>900</v>
      </c>
      <c r="AI331" s="199">
        <v>789</v>
      </c>
      <c r="AJ331" s="196" t="s">
        <v>92</v>
      </c>
      <c r="AK331" s="196" t="s">
        <v>731</v>
      </c>
      <c r="AL331" s="196" t="s">
        <v>810</v>
      </c>
      <c r="AM331" s="200">
        <v>38936</v>
      </c>
      <c r="AN331" s="200"/>
      <c r="AO331" s="107"/>
      <c r="AP331" s="107">
        <v>40043</v>
      </c>
      <c r="AQ331" s="107">
        <v>43607</v>
      </c>
      <c r="AR331" s="107">
        <v>39087</v>
      </c>
      <c r="AS331" s="107">
        <v>39563</v>
      </c>
      <c r="AT331" s="107"/>
      <c r="AU331" s="218">
        <v>39769</v>
      </c>
      <c r="AV331" s="218" t="s">
        <v>70</v>
      </c>
      <c r="AW331" s="204" t="s">
        <v>70</v>
      </c>
      <c r="AX331" s="107"/>
      <c r="AY331" s="107">
        <v>40525</v>
      </c>
      <c r="AZ331" s="107">
        <v>41950</v>
      </c>
      <c r="BA331" s="107">
        <v>42303</v>
      </c>
      <c r="BB331" s="107">
        <v>42559</v>
      </c>
      <c r="BC331" s="107">
        <v>42564</v>
      </c>
      <c r="BD331" s="107">
        <v>43552</v>
      </c>
      <c r="BE331" s="108">
        <v>43718</v>
      </c>
      <c r="BF331" s="108">
        <v>44102</v>
      </c>
      <c r="BG331" s="328">
        <v>46001</v>
      </c>
      <c r="BH331" s="285" t="s">
        <v>1554</v>
      </c>
    </row>
    <row r="332" spans="1:60" s="61" customFormat="1" ht="20.100000000000001" customHeight="1">
      <c r="A332" s="195">
        <v>327</v>
      </c>
      <c r="B332" s="196" t="s">
        <v>811</v>
      </c>
      <c r="C332" s="65" t="s">
        <v>72</v>
      </c>
      <c r="D332" s="65" t="s">
        <v>85</v>
      </c>
      <c r="E332" s="65" t="s">
        <v>812</v>
      </c>
      <c r="F332" s="65" t="s">
        <v>813</v>
      </c>
      <c r="G332" s="110">
        <v>74400</v>
      </c>
      <c r="H332" s="196" t="s">
        <v>814</v>
      </c>
      <c r="I332" s="110"/>
      <c r="J332" s="110">
        <v>546</v>
      </c>
      <c r="K332" s="110"/>
      <c r="L332" s="110">
        <v>546</v>
      </c>
      <c r="M332" s="110"/>
      <c r="N332" s="110"/>
      <c r="O332" s="110"/>
      <c r="P332" s="197"/>
      <c r="Q332" s="197"/>
      <c r="R332" s="197"/>
      <c r="S332" s="197"/>
      <c r="T332" s="197">
        <f t="shared" si="40"/>
        <v>0</v>
      </c>
      <c r="U332" s="110"/>
      <c r="V332" s="110"/>
      <c r="W332" s="110"/>
      <c r="X332" s="110"/>
      <c r="Y332" s="110"/>
      <c r="Z332" s="110"/>
      <c r="AA332" s="110"/>
      <c r="AB332" s="110"/>
      <c r="AC332" s="110"/>
      <c r="AD332" s="110"/>
      <c r="AE332" s="110">
        <f t="shared" si="38"/>
        <v>-546</v>
      </c>
      <c r="AF332" s="198" t="s">
        <v>815</v>
      </c>
      <c r="AG332" s="198" t="s">
        <v>816</v>
      </c>
      <c r="AH332" s="199"/>
      <c r="AI332" s="199"/>
      <c r="AJ332" s="110"/>
      <c r="AK332" s="196"/>
      <c r="AL332" s="196"/>
      <c r="AM332" s="200">
        <v>44624</v>
      </c>
      <c r="AN332" s="202">
        <v>46752</v>
      </c>
      <c r="AO332" s="107"/>
      <c r="AP332" s="107"/>
      <c r="AQ332" s="107"/>
      <c r="AR332" s="107"/>
      <c r="AS332" s="107"/>
      <c r="AT332" s="107"/>
      <c r="AU332" s="218"/>
      <c r="AV332" s="218" t="s">
        <v>70</v>
      </c>
      <c r="AW332" s="196" t="s">
        <v>70</v>
      </c>
      <c r="AX332" s="107"/>
      <c r="AY332" s="107"/>
      <c r="AZ332" s="107"/>
      <c r="BA332" s="107"/>
      <c r="BB332" s="107"/>
      <c r="BC332" s="107"/>
      <c r="BD332" s="107"/>
      <c r="BE332" s="107"/>
      <c r="BF332" s="107"/>
      <c r="BG332" s="321"/>
      <c r="BH332" s="285" t="s">
        <v>1560</v>
      </c>
    </row>
    <row r="333" spans="1:60" s="61" customFormat="1" ht="20.100000000000001" customHeight="1">
      <c r="A333" s="195">
        <v>328</v>
      </c>
      <c r="B333" s="196" t="s">
        <v>811</v>
      </c>
      <c r="C333" s="65" t="s">
        <v>72</v>
      </c>
      <c r="D333" s="65" t="s">
        <v>85</v>
      </c>
      <c r="E333" s="65" t="s">
        <v>817</v>
      </c>
      <c r="F333" s="65" t="s">
        <v>818</v>
      </c>
      <c r="G333" s="110">
        <v>14726</v>
      </c>
      <c r="H333" s="196" t="s">
        <v>814</v>
      </c>
      <c r="I333" s="110"/>
      <c r="J333" s="110">
        <v>135</v>
      </c>
      <c r="K333" s="110"/>
      <c r="L333" s="110">
        <v>135</v>
      </c>
      <c r="M333" s="110"/>
      <c r="N333" s="110"/>
      <c r="O333" s="110"/>
      <c r="P333" s="197"/>
      <c r="Q333" s="197"/>
      <c r="R333" s="197"/>
      <c r="S333" s="197"/>
      <c r="T333" s="197">
        <f t="shared" si="40"/>
        <v>0</v>
      </c>
      <c r="U333" s="110"/>
      <c r="V333" s="110"/>
      <c r="W333" s="110"/>
      <c r="X333" s="110"/>
      <c r="Y333" s="110"/>
      <c r="Z333" s="110"/>
      <c r="AA333" s="110"/>
      <c r="AB333" s="110"/>
      <c r="AC333" s="110"/>
      <c r="AD333" s="110"/>
      <c r="AE333" s="110">
        <f t="shared" si="38"/>
        <v>-135</v>
      </c>
      <c r="AF333" s="198" t="s">
        <v>819</v>
      </c>
      <c r="AG333" s="198" t="s">
        <v>820</v>
      </c>
      <c r="AH333" s="199"/>
      <c r="AI333" s="199"/>
      <c r="AJ333" s="110"/>
      <c r="AK333" s="196"/>
      <c r="AL333" s="196"/>
      <c r="AM333" s="200">
        <v>44624</v>
      </c>
      <c r="AN333" s="200">
        <v>47848</v>
      </c>
      <c r="AO333" s="107"/>
      <c r="AP333" s="107"/>
      <c r="AQ333" s="107"/>
      <c r="AR333" s="107"/>
      <c r="AS333" s="107"/>
      <c r="AT333" s="107"/>
      <c r="AU333" s="218"/>
      <c r="AV333" s="218" t="s">
        <v>70</v>
      </c>
      <c r="AW333" s="204" t="s">
        <v>70</v>
      </c>
      <c r="AX333" s="107"/>
      <c r="AY333" s="107"/>
      <c r="AZ333" s="107"/>
      <c r="BA333" s="107"/>
      <c r="BB333" s="107"/>
      <c r="BC333" s="107"/>
      <c r="BD333" s="107"/>
      <c r="BE333" s="107"/>
      <c r="BF333" s="107"/>
      <c r="BG333" s="321"/>
      <c r="BH333" s="285" t="s">
        <v>1560</v>
      </c>
    </row>
    <row r="334" spans="1:60" s="61" customFormat="1" ht="20.100000000000001" customHeight="1">
      <c r="A334" s="195">
        <v>329</v>
      </c>
      <c r="B334" s="196" t="s">
        <v>811</v>
      </c>
      <c r="C334" s="65" t="s">
        <v>72</v>
      </c>
      <c r="D334" s="65" t="s">
        <v>85</v>
      </c>
      <c r="E334" s="65" t="s">
        <v>821</v>
      </c>
      <c r="F334" s="65" t="s">
        <v>822</v>
      </c>
      <c r="G334" s="110">
        <v>11738</v>
      </c>
      <c r="H334" s="196" t="s">
        <v>814</v>
      </c>
      <c r="I334" s="110"/>
      <c r="J334" s="110">
        <v>42</v>
      </c>
      <c r="K334" s="110"/>
      <c r="L334" s="110">
        <v>42</v>
      </c>
      <c r="M334" s="110"/>
      <c r="N334" s="110"/>
      <c r="O334" s="110"/>
      <c r="P334" s="197"/>
      <c r="Q334" s="197"/>
      <c r="R334" s="197"/>
      <c r="S334" s="197"/>
      <c r="T334" s="197">
        <f t="shared" si="40"/>
        <v>0</v>
      </c>
      <c r="U334" s="110"/>
      <c r="V334" s="110"/>
      <c r="W334" s="110"/>
      <c r="X334" s="110"/>
      <c r="Y334" s="110"/>
      <c r="Z334" s="110"/>
      <c r="AA334" s="110"/>
      <c r="AB334" s="110"/>
      <c r="AC334" s="110"/>
      <c r="AD334" s="110"/>
      <c r="AE334" s="110">
        <f t="shared" si="38"/>
        <v>-42</v>
      </c>
      <c r="AF334" s="198">
        <v>1.8</v>
      </c>
      <c r="AG334" s="198">
        <v>2.2000000000000002</v>
      </c>
      <c r="AH334" s="199"/>
      <c r="AI334" s="199"/>
      <c r="AJ334" s="110"/>
      <c r="AK334" s="196"/>
      <c r="AL334" s="196"/>
      <c r="AM334" s="200">
        <v>44624</v>
      </c>
      <c r="AN334" s="200">
        <v>47848</v>
      </c>
      <c r="AO334" s="107"/>
      <c r="AP334" s="107"/>
      <c r="AQ334" s="107"/>
      <c r="AR334" s="107"/>
      <c r="AS334" s="107"/>
      <c r="AT334" s="107"/>
      <c r="AU334" s="218"/>
      <c r="AV334" s="218" t="s">
        <v>70</v>
      </c>
      <c r="AW334" s="204" t="s">
        <v>70</v>
      </c>
      <c r="AX334" s="107"/>
      <c r="AY334" s="107"/>
      <c r="AZ334" s="107"/>
      <c r="BA334" s="107"/>
      <c r="BB334" s="107"/>
      <c r="BC334" s="107"/>
      <c r="BD334" s="107"/>
      <c r="BE334" s="107"/>
      <c r="BF334" s="107"/>
      <c r="BG334" s="321"/>
      <c r="BH334" s="285" t="s">
        <v>1560</v>
      </c>
    </row>
    <row r="335" spans="1:60" s="61" customFormat="1" ht="20.100000000000001" customHeight="1">
      <c r="A335" s="195">
        <v>330</v>
      </c>
      <c r="B335" s="196" t="s">
        <v>811</v>
      </c>
      <c r="C335" s="65" t="s">
        <v>72</v>
      </c>
      <c r="D335" s="65" t="s">
        <v>85</v>
      </c>
      <c r="E335" s="65" t="s">
        <v>823</v>
      </c>
      <c r="F335" s="65" t="s">
        <v>824</v>
      </c>
      <c r="G335" s="110">
        <v>41771</v>
      </c>
      <c r="H335" s="196" t="s">
        <v>814</v>
      </c>
      <c r="I335" s="110"/>
      <c r="J335" s="110">
        <v>194</v>
      </c>
      <c r="K335" s="110"/>
      <c r="L335" s="110">
        <v>194</v>
      </c>
      <c r="M335" s="110"/>
      <c r="N335" s="110"/>
      <c r="O335" s="110"/>
      <c r="P335" s="197"/>
      <c r="Q335" s="197"/>
      <c r="R335" s="197"/>
      <c r="S335" s="197"/>
      <c r="T335" s="197">
        <f t="shared" si="40"/>
        <v>0</v>
      </c>
      <c r="U335" s="110"/>
      <c r="V335" s="110"/>
      <c r="W335" s="110"/>
      <c r="X335" s="110"/>
      <c r="Y335" s="110"/>
      <c r="Z335" s="110"/>
      <c r="AA335" s="110"/>
      <c r="AB335" s="110"/>
      <c r="AC335" s="110"/>
      <c r="AD335" s="110"/>
      <c r="AE335" s="110">
        <f t="shared" si="38"/>
        <v>-194</v>
      </c>
      <c r="AF335" s="198" t="s">
        <v>825</v>
      </c>
      <c r="AG335" s="198" t="s">
        <v>826</v>
      </c>
      <c r="AH335" s="199"/>
      <c r="AI335" s="199"/>
      <c r="AJ335" s="110"/>
      <c r="AK335" s="196"/>
      <c r="AL335" s="196"/>
      <c r="AM335" s="200">
        <v>44624</v>
      </c>
      <c r="AN335" s="200">
        <v>47848</v>
      </c>
      <c r="AO335" s="107"/>
      <c r="AP335" s="107"/>
      <c r="AQ335" s="107"/>
      <c r="AR335" s="107"/>
      <c r="AS335" s="107"/>
      <c r="AT335" s="107"/>
      <c r="AU335" s="218"/>
      <c r="AV335" s="218" t="s">
        <v>70</v>
      </c>
      <c r="AW335" s="204" t="s">
        <v>70</v>
      </c>
      <c r="AX335" s="107"/>
      <c r="AY335" s="107"/>
      <c r="AZ335" s="107"/>
      <c r="BA335" s="107"/>
      <c r="BB335" s="107"/>
      <c r="BC335" s="107"/>
      <c r="BD335" s="107"/>
      <c r="BE335" s="107"/>
      <c r="BF335" s="107"/>
      <c r="BG335" s="321"/>
      <c r="BH335" s="285" t="s">
        <v>1560</v>
      </c>
    </row>
    <row r="336" spans="1:60" s="61" customFormat="1" ht="20.100000000000001" customHeight="1">
      <c r="A336" s="195">
        <v>331</v>
      </c>
      <c r="B336" s="196" t="s">
        <v>811</v>
      </c>
      <c r="C336" s="65" t="s">
        <v>72</v>
      </c>
      <c r="D336" s="65" t="s">
        <v>85</v>
      </c>
      <c r="E336" s="65" t="s">
        <v>827</v>
      </c>
      <c r="F336" s="65" t="s">
        <v>828</v>
      </c>
      <c r="G336" s="110">
        <v>35944</v>
      </c>
      <c r="H336" s="196" t="s">
        <v>814</v>
      </c>
      <c r="I336" s="110"/>
      <c r="J336" s="110">
        <v>264</v>
      </c>
      <c r="K336" s="110"/>
      <c r="L336" s="110">
        <v>264</v>
      </c>
      <c r="M336" s="110"/>
      <c r="N336" s="110"/>
      <c r="O336" s="110"/>
      <c r="P336" s="197"/>
      <c r="Q336" s="197"/>
      <c r="R336" s="197"/>
      <c r="S336" s="197"/>
      <c r="T336" s="197">
        <f t="shared" si="40"/>
        <v>0</v>
      </c>
      <c r="U336" s="110"/>
      <c r="V336" s="110"/>
      <c r="W336" s="110"/>
      <c r="X336" s="110"/>
      <c r="Y336" s="110"/>
      <c r="Z336" s="110"/>
      <c r="AA336" s="110"/>
      <c r="AB336" s="110"/>
      <c r="AC336" s="110"/>
      <c r="AD336" s="110"/>
      <c r="AE336" s="110">
        <f t="shared" si="38"/>
        <v>-264</v>
      </c>
      <c r="AF336" s="198" t="s">
        <v>819</v>
      </c>
      <c r="AG336" s="198" t="s">
        <v>820</v>
      </c>
      <c r="AH336" s="199"/>
      <c r="AI336" s="199"/>
      <c r="AJ336" s="110"/>
      <c r="AK336" s="196"/>
      <c r="AL336" s="196"/>
      <c r="AM336" s="200">
        <v>44624</v>
      </c>
      <c r="AN336" s="200">
        <v>47848</v>
      </c>
      <c r="AO336" s="107"/>
      <c r="AP336" s="107"/>
      <c r="AQ336" s="107"/>
      <c r="AR336" s="107"/>
      <c r="AS336" s="107"/>
      <c r="AT336" s="107"/>
      <c r="AU336" s="218"/>
      <c r="AV336" s="218" t="s">
        <v>70</v>
      </c>
      <c r="AW336" s="204" t="s">
        <v>70</v>
      </c>
      <c r="AX336" s="107"/>
      <c r="AY336" s="107"/>
      <c r="AZ336" s="107"/>
      <c r="BA336" s="107"/>
      <c r="BB336" s="107"/>
      <c r="BC336" s="107"/>
      <c r="BD336" s="107"/>
      <c r="BE336" s="107"/>
      <c r="BF336" s="107"/>
      <c r="BG336" s="321"/>
      <c r="BH336" s="285" t="s">
        <v>1560</v>
      </c>
    </row>
    <row r="337" spans="1:60" s="61" customFormat="1" ht="20.100000000000001" customHeight="1">
      <c r="A337" s="195">
        <v>332</v>
      </c>
      <c r="B337" s="196" t="s">
        <v>811</v>
      </c>
      <c r="C337" s="65" t="s">
        <v>72</v>
      </c>
      <c r="D337" s="65" t="s">
        <v>85</v>
      </c>
      <c r="E337" s="65" t="s">
        <v>829</v>
      </c>
      <c r="F337" s="65" t="s">
        <v>830</v>
      </c>
      <c r="G337" s="110">
        <v>32090</v>
      </c>
      <c r="H337" s="196" t="s">
        <v>814</v>
      </c>
      <c r="I337" s="110"/>
      <c r="J337" s="110">
        <v>161</v>
      </c>
      <c r="K337" s="110"/>
      <c r="L337" s="110">
        <v>161</v>
      </c>
      <c r="M337" s="110"/>
      <c r="N337" s="110"/>
      <c r="O337" s="110"/>
      <c r="P337" s="197"/>
      <c r="Q337" s="197"/>
      <c r="R337" s="197"/>
      <c r="S337" s="197"/>
      <c r="T337" s="197">
        <f t="shared" si="40"/>
        <v>0</v>
      </c>
      <c r="U337" s="110"/>
      <c r="V337" s="110"/>
      <c r="W337" s="110"/>
      <c r="X337" s="110"/>
      <c r="Y337" s="110"/>
      <c r="Z337" s="110"/>
      <c r="AA337" s="110"/>
      <c r="AB337" s="110"/>
      <c r="AC337" s="110"/>
      <c r="AD337" s="110"/>
      <c r="AE337" s="110">
        <f t="shared" si="38"/>
        <v>-161</v>
      </c>
      <c r="AF337" s="198" t="s">
        <v>825</v>
      </c>
      <c r="AG337" s="198" t="s">
        <v>826</v>
      </c>
      <c r="AH337" s="199"/>
      <c r="AI337" s="199"/>
      <c r="AJ337" s="110"/>
      <c r="AK337" s="196"/>
      <c r="AL337" s="196"/>
      <c r="AM337" s="200">
        <v>44624</v>
      </c>
      <c r="AN337" s="200">
        <v>45657</v>
      </c>
      <c r="AO337" s="107"/>
      <c r="AP337" s="107"/>
      <c r="AQ337" s="107"/>
      <c r="AR337" s="107"/>
      <c r="AS337" s="107"/>
      <c r="AT337" s="107"/>
      <c r="AU337" s="218"/>
      <c r="AV337" s="218" t="s">
        <v>70</v>
      </c>
      <c r="AW337" s="204" t="s">
        <v>70</v>
      </c>
      <c r="AX337" s="107"/>
      <c r="AY337" s="107"/>
      <c r="AZ337" s="107"/>
      <c r="BA337" s="107"/>
      <c r="BB337" s="107"/>
      <c r="BC337" s="107"/>
      <c r="BD337" s="107"/>
      <c r="BE337" s="107"/>
      <c r="BF337" s="107"/>
      <c r="BG337" s="321"/>
      <c r="BH337" s="285" t="s">
        <v>1560</v>
      </c>
    </row>
    <row r="338" spans="1:60" s="61" customFormat="1" ht="20.100000000000001" customHeight="1">
      <c r="A338" s="195">
        <v>333</v>
      </c>
      <c r="B338" s="196" t="s">
        <v>811</v>
      </c>
      <c r="C338" s="65" t="s">
        <v>72</v>
      </c>
      <c r="D338" s="65" t="s">
        <v>85</v>
      </c>
      <c r="E338" s="65" t="s">
        <v>831</v>
      </c>
      <c r="F338" s="65" t="s">
        <v>832</v>
      </c>
      <c r="G338" s="110">
        <v>66163</v>
      </c>
      <c r="H338" s="196" t="s">
        <v>814</v>
      </c>
      <c r="I338" s="110"/>
      <c r="J338" s="110">
        <v>258</v>
      </c>
      <c r="K338" s="110"/>
      <c r="L338" s="110">
        <v>258</v>
      </c>
      <c r="M338" s="110"/>
      <c r="N338" s="110"/>
      <c r="O338" s="110"/>
      <c r="P338" s="197"/>
      <c r="Q338" s="197"/>
      <c r="R338" s="197"/>
      <c r="S338" s="197"/>
      <c r="T338" s="197">
        <f t="shared" si="40"/>
        <v>0</v>
      </c>
      <c r="U338" s="110"/>
      <c r="V338" s="110"/>
      <c r="W338" s="110"/>
      <c r="X338" s="110"/>
      <c r="Y338" s="110"/>
      <c r="Z338" s="110"/>
      <c r="AA338" s="110"/>
      <c r="AB338" s="110"/>
      <c r="AC338" s="110"/>
      <c r="AD338" s="110"/>
      <c r="AE338" s="110">
        <f t="shared" si="38"/>
        <v>-258</v>
      </c>
      <c r="AF338" s="198">
        <v>1.8</v>
      </c>
      <c r="AG338" s="198">
        <v>2.2000000000000002</v>
      </c>
      <c r="AH338" s="199"/>
      <c r="AI338" s="199"/>
      <c r="AJ338" s="110"/>
      <c r="AK338" s="196"/>
      <c r="AL338" s="196"/>
      <c r="AM338" s="200">
        <v>44624</v>
      </c>
      <c r="AN338" s="200">
        <v>46752</v>
      </c>
      <c r="AO338" s="107"/>
      <c r="AP338" s="107"/>
      <c r="AQ338" s="107"/>
      <c r="AR338" s="107"/>
      <c r="AS338" s="107"/>
      <c r="AT338" s="107"/>
      <c r="AU338" s="218"/>
      <c r="AV338" s="218" t="s">
        <v>70</v>
      </c>
      <c r="AW338" s="204" t="s">
        <v>70</v>
      </c>
      <c r="AX338" s="107"/>
      <c r="AY338" s="107"/>
      <c r="AZ338" s="107"/>
      <c r="BA338" s="107"/>
      <c r="BB338" s="107"/>
      <c r="BC338" s="107"/>
      <c r="BD338" s="107"/>
      <c r="BE338" s="107"/>
      <c r="BF338" s="107"/>
      <c r="BG338" s="321"/>
      <c r="BH338" s="285" t="s">
        <v>1560</v>
      </c>
    </row>
    <row r="339" spans="1:60" s="61" customFormat="1" ht="20.100000000000001" customHeight="1">
      <c r="A339" s="195">
        <v>334</v>
      </c>
      <c r="B339" s="196" t="s">
        <v>811</v>
      </c>
      <c r="C339" s="65" t="s">
        <v>72</v>
      </c>
      <c r="D339" s="65" t="s">
        <v>85</v>
      </c>
      <c r="E339" s="65" t="s">
        <v>833</v>
      </c>
      <c r="F339" s="65" t="s">
        <v>834</v>
      </c>
      <c r="G339" s="110">
        <v>24506</v>
      </c>
      <c r="H339" s="196" t="s">
        <v>814</v>
      </c>
      <c r="I339" s="110"/>
      <c r="J339" s="110">
        <v>74</v>
      </c>
      <c r="K339" s="110"/>
      <c r="L339" s="110">
        <v>74</v>
      </c>
      <c r="M339" s="110"/>
      <c r="N339" s="110"/>
      <c r="O339" s="110"/>
      <c r="P339" s="197"/>
      <c r="Q339" s="197"/>
      <c r="R339" s="197"/>
      <c r="S339" s="197"/>
      <c r="T339" s="197">
        <f t="shared" si="40"/>
        <v>0</v>
      </c>
      <c r="U339" s="110"/>
      <c r="V339" s="110"/>
      <c r="W339" s="110"/>
      <c r="X339" s="110"/>
      <c r="Y339" s="110"/>
      <c r="Z339" s="110"/>
      <c r="AA339" s="110"/>
      <c r="AB339" s="110"/>
      <c r="AC339" s="110"/>
      <c r="AD339" s="110"/>
      <c r="AE339" s="110">
        <f t="shared" ref="AE339:AE402" si="41">T339-J339</f>
        <v>-74</v>
      </c>
      <c r="AF339" s="198">
        <v>1.8</v>
      </c>
      <c r="AG339" s="198">
        <v>2.2000000000000002</v>
      </c>
      <c r="AH339" s="199"/>
      <c r="AI339" s="199"/>
      <c r="AJ339" s="110"/>
      <c r="AK339" s="196"/>
      <c r="AL339" s="196"/>
      <c r="AM339" s="200">
        <v>44624</v>
      </c>
      <c r="AN339" s="200">
        <v>45657</v>
      </c>
      <c r="AO339" s="107"/>
      <c r="AP339" s="107"/>
      <c r="AQ339" s="107"/>
      <c r="AR339" s="107"/>
      <c r="AS339" s="107"/>
      <c r="AT339" s="107"/>
      <c r="AU339" s="218"/>
      <c r="AV339" s="218" t="s">
        <v>70</v>
      </c>
      <c r="AW339" s="204" t="s">
        <v>70</v>
      </c>
      <c r="AX339" s="107"/>
      <c r="AY339" s="107"/>
      <c r="AZ339" s="107"/>
      <c r="BA339" s="107"/>
      <c r="BB339" s="107"/>
      <c r="BC339" s="107"/>
      <c r="BD339" s="107"/>
      <c r="BE339" s="107"/>
      <c r="BF339" s="107"/>
      <c r="BG339" s="321"/>
      <c r="BH339" s="285" t="s">
        <v>1560</v>
      </c>
    </row>
    <row r="340" spans="1:60" s="61" customFormat="1" ht="20.100000000000001" customHeight="1">
      <c r="A340" s="195">
        <v>335</v>
      </c>
      <c r="B340" s="196" t="s">
        <v>811</v>
      </c>
      <c r="C340" s="65" t="s">
        <v>72</v>
      </c>
      <c r="D340" s="65" t="s">
        <v>85</v>
      </c>
      <c r="E340" s="65" t="s">
        <v>835</v>
      </c>
      <c r="F340" s="65" t="s">
        <v>836</v>
      </c>
      <c r="G340" s="110">
        <v>30275</v>
      </c>
      <c r="H340" s="196" t="s">
        <v>814</v>
      </c>
      <c r="I340" s="110"/>
      <c r="J340" s="110">
        <v>147</v>
      </c>
      <c r="K340" s="110"/>
      <c r="L340" s="110">
        <v>147</v>
      </c>
      <c r="M340" s="110"/>
      <c r="N340" s="110"/>
      <c r="O340" s="110"/>
      <c r="P340" s="197"/>
      <c r="Q340" s="197"/>
      <c r="R340" s="197"/>
      <c r="S340" s="197"/>
      <c r="T340" s="197">
        <f t="shared" si="40"/>
        <v>0</v>
      </c>
      <c r="U340" s="110"/>
      <c r="V340" s="110"/>
      <c r="W340" s="110"/>
      <c r="X340" s="110"/>
      <c r="Y340" s="110"/>
      <c r="Z340" s="110"/>
      <c r="AA340" s="110"/>
      <c r="AB340" s="110"/>
      <c r="AC340" s="110"/>
      <c r="AD340" s="110"/>
      <c r="AE340" s="110">
        <f t="shared" si="41"/>
        <v>-147</v>
      </c>
      <c r="AF340" s="198" t="s">
        <v>837</v>
      </c>
      <c r="AG340" s="198" t="s">
        <v>838</v>
      </c>
      <c r="AH340" s="199"/>
      <c r="AI340" s="199"/>
      <c r="AJ340" s="110"/>
      <c r="AK340" s="196"/>
      <c r="AL340" s="196"/>
      <c r="AM340" s="200">
        <v>44624</v>
      </c>
      <c r="AN340" s="200">
        <v>47848</v>
      </c>
      <c r="AO340" s="107"/>
      <c r="AP340" s="107"/>
      <c r="AQ340" s="107"/>
      <c r="AR340" s="107"/>
      <c r="AS340" s="107"/>
      <c r="AT340" s="107"/>
      <c r="AU340" s="218"/>
      <c r="AV340" s="218" t="s">
        <v>70</v>
      </c>
      <c r="AW340" s="204" t="s">
        <v>70</v>
      </c>
      <c r="AX340" s="107"/>
      <c r="AY340" s="107"/>
      <c r="AZ340" s="107"/>
      <c r="BA340" s="107"/>
      <c r="BB340" s="107"/>
      <c r="BC340" s="107"/>
      <c r="BD340" s="107"/>
      <c r="BE340" s="107"/>
      <c r="BF340" s="107"/>
      <c r="BG340" s="321"/>
      <c r="BH340" s="285" t="s">
        <v>1560</v>
      </c>
    </row>
    <row r="341" spans="1:60" s="61" customFormat="1" ht="20.100000000000001" customHeight="1">
      <c r="A341" s="195">
        <v>336</v>
      </c>
      <c r="B341" s="196" t="s">
        <v>811</v>
      </c>
      <c r="C341" s="65" t="s">
        <v>72</v>
      </c>
      <c r="D341" s="65" t="s">
        <v>85</v>
      </c>
      <c r="E341" s="65" t="s">
        <v>839</v>
      </c>
      <c r="F341" s="65" t="s">
        <v>840</v>
      </c>
      <c r="G341" s="110">
        <v>26558</v>
      </c>
      <c r="H341" s="196" t="s">
        <v>814</v>
      </c>
      <c r="I341" s="110"/>
      <c r="J341" s="110">
        <v>128</v>
      </c>
      <c r="K341" s="110"/>
      <c r="L341" s="110">
        <v>128</v>
      </c>
      <c r="M341" s="110"/>
      <c r="N341" s="110"/>
      <c r="O341" s="110"/>
      <c r="P341" s="197"/>
      <c r="Q341" s="197"/>
      <c r="R341" s="197"/>
      <c r="S341" s="197"/>
      <c r="T341" s="197">
        <f t="shared" si="40"/>
        <v>0</v>
      </c>
      <c r="U341" s="110"/>
      <c r="V341" s="110"/>
      <c r="W341" s="110"/>
      <c r="X341" s="110"/>
      <c r="Y341" s="110"/>
      <c r="Z341" s="110"/>
      <c r="AA341" s="110"/>
      <c r="AB341" s="110"/>
      <c r="AC341" s="110"/>
      <c r="AD341" s="110"/>
      <c r="AE341" s="110">
        <f t="shared" si="41"/>
        <v>-128</v>
      </c>
      <c r="AF341" s="198" t="s">
        <v>837</v>
      </c>
      <c r="AG341" s="198" t="s">
        <v>838</v>
      </c>
      <c r="AH341" s="199"/>
      <c r="AI341" s="199"/>
      <c r="AJ341" s="110"/>
      <c r="AK341" s="196"/>
      <c r="AL341" s="196"/>
      <c r="AM341" s="200">
        <v>44624</v>
      </c>
      <c r="AN341" s="200">
        <v>46752</v>
      </c>
      <c r="AO341" s="107"/>
      <c r="AP341" s="107"/>
      <c r="AQ341" s="107"/>
      <c r="AR341" s="107"/>
      <c r="AS341" s="107"/>
      <c r="AT341" s="107"/>
      <c r="AU341" s="218"/>
      <c r="AV341" s="218" t="s">
        <v>70</v>
      </c>
      <c r="AW341" s="204" t="s">
        <v>70</v>
      </c>
      <c r="AX341" s="107"/>
      <c r="AY341" s="107"/>
      <c r="AZ341" s="107"/>
      <c r="BA341" s="107"/>
      <c r="BB341" s="107"/>
      <c r="BC341" s="107"/>
      <c r="BD341" s="107"/>
      <c r="BE341" s="107"/>
      <c r="BF341" s="107"/>
      <c r="BG341" s="321"/>
      <c r="BH341" s="285" t="s">
        <v>1560</v>
      </c>
    </row>
    <row r="342" spans="1:60" s="61" customFormat="1" ht="20.100000000000001" customHeight="1">
      <c r="A342" s="195">
        <v>337</v>
      </c>
      <c r="B342" s="196" t="s">
        <v>811</v>
      </c>
      <c r="C342" s="65" t="s">
        <v>72</v>
      </c>
      <c r="D342" s="65" t="s">
        <v>85</v>
      </c>
      <c r="E342" s="65" t="s">
        <v>841</v>
      </c>
      <c r="F342" s="65" t="s">
        <v>842</v>
      </c>
      <c r="G342" s="110">
        <v>22976</v>
      </c>
      <c r="H342" s="196" t="s">
        <v>814</v>
      </c>
      <c r="I342" s="110"/>
      <c r="J342" s="110">
        <v>154</v>
      </c>
      <c r="K342" s="110"/>
      <c r="L342" s="110">
        <v>154</v>
      </c>
      <c r="M342" s="110"/>
      <c r="N342" s="110"/>
      <c r="O342" s="110"/>
      <c r="P342" s="197"/>
      <c r="Q342" s="197"/>
      <c r="R342" s="197"/>
      <c r="S342" s="197"/>
      <c r="T342" s="197">
        <f t="shared" si="40"/>
        <v>0</v>
      </c>
      <c r="U342" s="110"/>
      <c r="V342" s="110"/>
      <c r="W342" s="110"/>
      <c r="X342" s="110"/>
      <c r="Y342" s="110"/>
      <c r="Z342" s="110"/>
      <c r="AA342" s="110"/>
      <c r="AB342" s="110"/>
      <c r="AC342" s="110"/>
      <c r="AD342" s="110"/>
      <c r="AE342" s="110">
        <f t="shared" si="41"/>
        <v>-154</v>
      </c>
      <c r="AF342" s="198" t="s">
        <v>825</v>
      </c>
      <c r="AG342" s="198" t="s">
        <v>826</v>
      </c>
      <c r="AH342" s="199"/>
      <c r="AI342" s="199"/>
      <c r="AJ342" s="196"/>
      <c r="AK342" s="196"/>
      <c r="AL342" s="196"/>
      <c r="AM342" s="200">
        <v>44624</v>
      </c>
      <c r="AN342" s="200">
        <v>46752</v>
      </c>
      <c r="AO342" s="107"/>
      <c r="AP342" s="107"/>
      <c r="AQ342" s="107"/>
      <c r="AR342" s="107"/>
      <c r="AS342" s="107"/>
      <c r="AT342" s="107"/>
      <c r="AU342" s="218"/>
      <c r="AV342" s="218" t="s">
        <v>70</v>
      </c>
      <c r="AW342" s="204" t="s">
        <v>70</v>
      </c>
      <c r="AX342" s="107"/>
      <c r="AY342" s="107"/>
      <c r="AZ342" s="107"/>
      <c r="BA342" s="107"/>
      <c r="BB342" s="107"/>
      <c r="BC342" s="107"/>
      <c r="BD342" s="107"/>
      <c r="BE342" s="107"/>
      <c r="BF342" s="107"/>
      <c r="BG342" s="321"/>
      <c r="BH342" s="285" t="s">
        <v>1560</v>
      </c>
    </row>
    <row r="343" spans="1:60" s="61" customFormat="1" ht="20.100000000000001" customHeight="1">
      <c r="A343" s="195">
        <v>338</v>
      </c>
      <c r="B343" s="196" t="s">
        <v>811</v>
      </c>
      <c r="C343" s="65" t="s">
        <v>72</v>
      </c>
      <c r="D343" s="65" t="s">
        <v>85</v>
      </c>
      <c r="E343" s="65" t="s">
        <v>843</v>
      </c>
      <c r="F343" s="65" t="s">
        <v>844</v>
      </c>
      <c r="G343" s="110">
        <v>22374</v>
      </c>
      <c r="H343" s="196" t="s">
        <v>814</v>
      </c>
      <c r="I343" s="110"/>
      <c r="J343" s="110">
        <v>142</v>
      </c>
      <c r="K343" s="110"/>
      <c r="L343" s="110">
        <v>142</v>
      </c>
      <c r="M343" s="110"/>
      <c r="N343" s="110"/>
      <c r="O343" s="110"/>
      <c r="P343" s="197"/>
      <c r="Q343" s="197"/>
      <c r="R343" s="197"/>
      <c r="S343" s="197"/>
      <c r="T343" s="197">
        <f t="shared" si="40"/>
        <v>0</v>
      </c>
      <c r="U343" s="110"/>
      <c r="V343" s="110"/>
      <c r="W343" s="110"/>
      <c r="X343" s="110"/>
      <c r="Y343" s="110"/>
      <c r="Z343" s="110"/>
      <c r="AA343" s="110"/>
      <c r="AB343" s="110"/>
      <c r="AC343" s="110"/>
      <c r="AD343" s="110"/>
      <c r="AE343" s="110">
        <f t="shared" si="41"/>
        <v>-142</v>
      </c>
      <c r="AF343" s="198">
        <v>1.8</v>
      </c>
      <c r="AG343" s="198">
        <v>2.2000000000000002</v>
      </c>
      <c r="AH343" s="199"/>
      <c r="AI343" s="199"/>
      <c r="AJ343" s="196"/>
      <c r="AK343" s="196"/>
      <c r="AL343" s="196"/>
      <c r="AM343" s="200">
        <v>44624</v>
      </c>
      <c r="AN343" s="200">
        <v>46752</v>
      </c>
      <c r="AO343" s="107"/>
      <c r="AP343" s="107"/>
      <c r="AQ343" s="107"/>
      <c r="AR343" s="107"/>
      <c r="AS343" s="107"/>
      <c r="AT343" s="107"/>
      <c r="AU343" s="218"/>
      <c r="AV343" s="218" t="s">
        <v>70</v>
      </c>
      <c r="AW343" s="204" t="s">
        <v>70</v>
      </c>
      <c r="AX343" s="107"/>
      <c r="AY343" s="107"/>
      <c r="AZ343" s="107"/>
      <c r="BA343" s="107"/>
      <c r="BB343" s="107"/>
      <c r="BC343" s="107"/>
      <c r="BD343" s="107"/>
      <c r="BE343" s="107"/>
      <c r="BF343" s="107"/>
      <c r="BG343" s="321"/>
      <c r="BH343" s="285" t="s">
        <v>1560</v>
      </c>
    </row>
    <row r="344" spans="1:60" s="61" customFormat="1" ht="20.100000000000001" customHeight="1">
      <c r="A344" s="195">
        <v>339</v>
      </c>
      <c r="B344" s="196" t="s">
        <v>811</v>
      </c>
      <c r="C344" s="65" t="s">
        <v>72</v>
      </c>
      <c r="D344" s="65" t="s">
        <v>85</v>
      </c>
      <c r="E344" s="65" t="s">
        <v>845</v>
      </c>
      <c r="F344" s="65" t="s">
        <v>846</v>
      </c>
      <c r="G344" s="110">
        <v>11807</v>
      </c>
      <c r="H344" s="196" t="s">
        <v>814</v>
      </c>
      <c r="I344" s="110"/>
      <c r="J344" s="110">
        <v>94</v>
      </c>
      <c r="K344" s="110"/>
      <c r="L344" s="110">
        <v>94</v>
      </c>
      <c r="M344" s="110"/>
      <c r="N344" s="110"/>
      <c r="O344" s="110"/>
      <c r="P344" s="197"/>
      <c r="Q344" s="197"/>
      <c r="R344" s="197"/>
      <c r="S344" s="197"/>
      <c r="T344" s="197">
        <f t="shared" si="40"/>
        <v>0</v>
      </c>
      <c r="U344" s="110"/>
      <c r="V344" s="110"/>
      <c r="W344" s="110"/>
      <c r="X344" s="110"/>
      <c r="Y344" s="110"/>
      <c r="Z344" s="110"/>
      <c r="AA344" s="110"/>
      <c r="AB344" s="110"/>
      <c r="AC344" s="110"/>
      <c r="AD344" s="110"/>
      <c r="AE344" s="110">
        <f t="shared" si="41"/>
        <v>-94</v>
      </c>
      <c r="AF344" s="198">
        <v>1.8</v>
      </c>
      <c r="AG344" s="198">
        <v>2.2000000000000002</v>
      </c>
      <c r="AH344" s="199"/>
      <c r="AI344" s="199"/>
      <c r="AJ344" s="196"/>
      <c r="AK344" s="196"/>
      <c r="AL344" s="196"/>
      <c r="AM344" s="200">
        <v>44624</v>
      </c>
      <c r="AN344" s="200">
        <v>46752</v>
      </c>
      <c r="AO344" s="107"/>
      <c r="AP344" s="107"/>
      <c r="AQ344" s="107"/>
      <c r="AR344" s="107"/>
      <c r="AS344" s="107"/>
      <c r="AT344" s="107"/>
      <c r="AU344" s="218"/>
      <c r="AV344" s="218" t="s">
        <v>70</v>
      </c>
      <c r="AW344" s="204" t="s">
        <v>70</v>
      </c>
      <c r="AX344" s="107"/>
      <c r="AY344" s="107"/>
      <c r="AZ344" s="107"/>
      <c r="BA344" s="107"/>
      <c r="BB344" s="107"/>
      <c r="BC344" s="107"/>
      <c r="BD344" s="107"/>
      <c r="BE344" s="107"/>
      <c r="BF344" s="107"/>
      <c r="BG344" s="321"/>
      <c r="BH344" s="285" t="s">
        <v>1560</v>
      </c>
    </row>
    <row r="345" spans="1:60" s="61" customFormat="1" ht="20.100000000000001" customHeight="1">
      <c r="A345" s="195">
        <v>340</v>
      </c>
      <c r="B345" s="196" t="s">
        <v>811</v>
      </c>
      <c r="C345" s="65" t="s">
        <v>72</v>
      </c>
      <c r="D345" s="65" t="s">
        <v>85</v>
      </c>
      <c r="E345" s="65" t="s">
        <v>847</v>
      </c>
      <c r="F345" s="65" t="s">
        <v>848</v>
      </c>
      <c r="G345" s="110">
        <v>82958</v>
      </c>
      <c r="H345" s="196" t="s">
        <v>814</v>
      </c>
      <c r="I345" s="110"/>
      <c r="J345" s="110">
        <v>439</v>
      </c>
      <c r="K345" s="110"/>
      <c r="L345" s="110">
        <v>439</v>
      </c>
      <c r="M345" s="110"/>
      <c r="N345" s="110"/>
      <c r="O345" s="110"/>
      <c r="P345" s="197"/>
      <c r="Q345" s="197"/>
      <c r="R345" s="197"/>
      <c r="S345" s="197"/>
      <c r="T345" s="197">
        <f t="shared" si="40"/>
        <v>0</v>
      </c>
      <c r="U345" s="110"/>
      <c r="V345" s="110"/>
      <c r="W345" s="110"/>
      <c r="X345" s="110"/>
      <c r="Y345" s="110"/>
      <c r="Z345" s="110"/>
      <c r="AA345" s="110"/>
      <c r="AB345" s="110"/>
      <c r="AC345" s="110"/>
      <c r="AD345" s="110"/>
      <c r="AE345" s="110">
        <f t="shared" si="41"/>
        <v>-439</v>
      </c>
      <c r="AF345" s="198" t="s">
        <v>837</v>
      </c>
      <c r="AG345" s="198" t="s">
        <v>838</v>
      </c>
      <c r="AH345" s="199"/>
      <c r="AI345" s="199"/>
      <c r="AJ345" s="196"/>
      <c r="AK345" s="196"/>
      <c r="AL345" s="196"/>
      <c r="AM345" s="200">
        <v>44624</v>
      </c>
      <c r="AN345" s="200">
        <v>45657</v>
      </c>
      <c r="AO345" s="107"/>
      <c r="AP345" s="107"/>
      <c r="AQ345" s="107"/>
      <c r="AR345" s="107"/>
      <c r="AS345" s="107"/>
      <c r="AT345" s="107"/>
      <c r="AU345" s="218"/>
      <c r="AV345" s="218" t="s">
        <v>70</v>
      </c>
      <c r="AW345" s="204" t="s">
        <v>70</v>
      </c>
      <c r="AX345" s="107"/>
      <c r="AY345" s="107"/>
      <c r="AZ345" s="107"/>
      <c r="BA345" s="107"/>
      <c r="BB345" s="107"/>
      <c r="BC345" s="107"/>
      <c r="BD345" s="107"/>
      <c r="BE345" s="107"/>
      <c r="BF345" s="107"/>
      <c r="BG345" s="321"/>
      <c r="BH345" s="285" t="s">
        <v>1560</v>
      </c>
    </row>
    <row r="346" spans="1:60" s="61" customFormat="1" ht="20.100000000000001" customHeight="1">
      <c r="A346" s="195">
        <v>341</v>
      </c>
      <c r="B346" s="196" t="s">
        <v>811</v>
      </c>
      <c r="C346" s="65" t="s">
        <v>72</v>
      </c>
      <c r="D346" s="65" t="s">
        <v>73</v>
      </c>
      <c r="E346" s="65" t="s">
        <v>849</v>
      </c>
      <c r="F346" s="65" t="s">
        <v>850</v>
      </c>
      <c r="G346" s="110">
        <v>10422</v>
      </c>
      <c r="H346" s="196">
        <v>1990</v>
      </c>
      <c r="I346" s="110"/>
      <c r="J346" s="110">
        <v>415</v>
      </c>
      <c r="K346" s="110">
        <v>415</v>
      </c>
      <c r="L346" s="110"/>
      <c r="M346" s="110"/>
      <c r="N346" s="110"/>
      <c r="O346" s="110"/>
      <c r="P346" s="197"/>
      <c r="Q346" s="197"/>
      <c r="R346" s="197"/>
      <c r="S346" s="197"/>
      <c r="T346" s="197">
        <f t="shared" si="40"/>
        <v>0</v>
      </c>
      <c r="U346" s="110"/>
      <c r="V346" s="110"/>
      <c r="W346" s="110"/>
      <c r="X346" s="110"/>
      <c r="Y346" s="110"/>
      <c r="Z346" s="110"/>
      <c r="AA346" s="110"/>
      <c r="AB346" s="110"/>
      <c r="AC346" s="110"/>
      <c r="AD346" s="110"/>
      <c r="AE346" s="110">
        <f t="shared" si="41"/>
        <v>-415</v>
      </c>
      <c r="AF346" s="198">
        <v>2</v>
      </c>
      <c r="AG346" s="198">
        <v>2.5</v>
      </c>
      <c r="AH346" s="199"/>
      <c r="AI346" s="199"/>
      <c r="AJ346" s="196"/>
      <c r="AK346" s="196"/>
      <c r="AL346" s="196"/>
      <c r="AM346" s="200">
        <v>44624</v>
      </c>
      <c r="AN346" s="200">
        <v>46752</v>
      </c>
      <c r="AO346" s="107"/>
      <c r="AP346" s="107"/>
      <c r="AQ346" s="107"/>
      <c r="AR346" s="107"/>
      <c r="AS346" s="107"/>
      <c r="AT346" s="107"/>
      <c r="AU346" s="218"/>
      <c r="AV346" s="218" t="s">
        <v>70</v>
      </c>
      <c r="AW346" s="204" t="s">
        <v>70</v>
      </c>
      <c r="AX346" s="107"/>
      <c r="AY346" s="107"/>
      <c r="AZ346" s="107"/>
      <c r="BA346" s="107"/>
      <c r="BB346" s="107"/>
      <c r="BC346" s="107"/>
      <c r="BD346" s="107"/>
      <c r="BE346" s="107"/>
      <c r="BF346" s="107"/>
      <c r="BG346" s="321"/>
      <c r="BH346" s="285" t="s">
        <v>1560</v>
      </c>
    </row>
    <row r="347" spans="1:60" s="61" customFormat="1" ht="20.100000000000001" customHeight="1">
      <c r="A347" s="195">
        <v>342</v>
      </c>
      <c r="B347" s="196" t="s">
        <v>811</v>
      </c>
      <c r="C347" s="65" t="s">
        <v>65</v>
      </c>
      <c r="D347" s="65" t="s">
        <v>73</v>
      </c>
      <c r="E347" s="65" t="s">
        <v>851</v>
      </c>
      <c r="F347" s="65" t="s">
        <v>852</v>
      </c>
      <c r="G347" s="110">
        <v>17339</v>
      </c>
      <c r="H347" s="196">
        <v>1987</v>
      </c>
      <c r="I347" s="110">
        <v>7</v>
      </c>
      <c r="J347" s="110">
        <f>SUM(K347:O347)</f>
        <v>198</v>
      </c>
      <c r="K347" s="110"/>
      <c r="L347" s="110"/>
      <c r="M347" s="110">
        <v>135</v>
      </c>
      <c r="N347" s="110">
        <v>63</v>
      </c>
      <c r="O347" s="110"/>
      <c r="P347" s="197">
        <v>350</v>
      </c>
      <c r="Q347" s="197">
        <v>350</v>
      </c>
      <c r="R347" s="197"/>
      <c r="S347" s="197"/>
      <c r="T347" s="197">
        <f t="shared" si="40"/>
        <v>350</v>
      </c>
      <c r="U347" s="110">
        <v>350</v>
      </c>
      <c r="V347" s="110"/>
      <c r="W347" s="110">
        <v>60</v>
      </c>
      <c r="X347" s="110">
        <v>268</v>
      </c>
      <c r="Y347" s="110">
        <v>22</v>
      </c>
      <c r="Z347" s="110"/>
      <c r="AA347" s="110"/>
      <c r="AB347" s="110"/>
      <c r="AC347" s="110"/>
      <c r="AD347" s="110"/>
      <c r="AE347" s="110">
        <f t="shared" si="41"/>
        <v>152</v>
      </c>
      <c r="AF347" s="198">
        <v>1.0228999999999999</v>
      </c>
      <c r="AG347" s="198">
        <v>2.4043999999999999</v>
      </c>
      <c r="AH347" s="199">
        <v>215</v>
      </c>
      <c r="AI347" s="199">
        <v>205</v>
      </c>
      <c r="AJ347" s="65" t="s">
        <v>92</v>
      </c>
      <c r="AK347" s="196">
        <v>2013</v>
      </c>
      <c r="AL347" s="196"/>
      <c r="AM347" s="200" t="s">
        <v>563</v>
      </c>
      <c r="AN347" s="200" t="s">
        <v>563</v>
      </c>
      <c r="AO347" s="107">
        <v>42222</v>
      </c>
      <c r="AP347" s="107">
        <v>42226</v>
      </c>
      <c r="AQ347" s="107">
        <v>45009</v>
      </c>
      <c r="AR347" s="108">
        <v>42510</v>
      </c>
      <c r="AS347" s="107"/>
      <c r="AT347" s="107"/>
      <c r="AU347" s="218">
        <v>41208</v>
      </c>
      <c r="AV347" s="218" t="s">
        <v>82</v>
      </c>
      <c r="AW347" s="196" t="s">
        <v>70</v>
      </c>
      <c r="AX347" s="107"/>
      <c r="AY347" s="107">
        <v>44421</v>
      </c>
      <c r="AZ347" s="107">
        <v>45541</v>
      </c>
      <c r="BA347" s="107"/>
      <c r="BB347" s="107"/>
      <c r="BC347" s="107"/>
      <c r="BD347" s="107"/>
      <c r="BE347" s="107"/>
      <c r="BF347" s="107"/>
      <c r="BG347" s="321"/>
      <c r="BH347" s="285" t="s">
        <v>1560</v>
      </c>
    </row>
    <row r="348" spans="1:60" s="61" customFormat="1" ht="20.100000000000001" customHeight="1">
      <c r="A348" s="195">
        <v>343</v>
      </c>
      <c r="B348" s="196" t="s">
        <v>853</v>
      </c>
      <c r="C348" s="65" t="s">
        <v>72</v>
      </c>
      <c r="D348" s="65" t="s">
        <v>85</v>
      </c>
      <c r="E348" s="65" t="s">
        <v>854</v>
      </c>
      <c r="F348" s="65" t="s">
        <v>855</v>
      </c>
      <c r="G348" s="110">
        <v>43188</v>
      </c>
      <c r="H348" s="196" t="s">
        <v>856</v>
      </c>
      <c r="I348" s="110">
        <v>186</v>
      </c>
      <c r="J348" s="110">
        <v>0</v>
      </c>
      <c r="K348" s="110"/>
      <c r="L348" s="110"/>
      <c r="M348" s="110"/>
      <c r="N348" s="110"/>
      <c r="O348" s="110"/>
      <c r="P348" s="197"/>
      <c r="Q348" s="197"/>
      <c r="R348" s="197"/>
      <c r="S348" s="197"/>
      <c r="T348" s="197">
        <f t="shared" si="40"/>
        <v>0</v>
      </c>
      <c r="U348" s="110"/>
      <c r="V348" s="110"/>
      <c r="W348" s="110"/>
      <c r="X348" s="110"/>
      <c r="Y348" s="110"/>
      <c r="Z348" s="110"/>
      <c r="AA348" s="110"/>
      <c r="AB348" s="110"/>
      <c r="AC348" s="110"/>
      <c r="AD348" s="110"/>
      <c r="AE348" s="110">
        <f t="shared" si="41"/>
        <v>0</v>
      </c>
      <c r="AF348" s="198"/>
      <c r="AG348" s="198"/>
      <c r="AH348" s="199"/>
      <c r="AI348" s="199"/>
      <c r="AJ348" s="196"/>
      <c r="AK348" s="196"/>
      <c r="AL348" s="196"/>
      <c r="AM348" s="200">
        <v>44351</v>
      </c>
      <c r="AN348" s="200">
        <v>46752</v>
      </c>
      <c r="AO348" s="107"/>
      <c r="AP348" s="107"/>
      <c r="AQ348" s="107"/>
      <c r="AR348" s="107"/>
      <c r="AS348" s="107"/>
      <c r="AT348" s="107"/>
      <c r="AU348" s="218"/>
      <c r="AV348" s="218" t="s">
        <v>70</v>
      </c>
      <c r="AW348" s="204" t="s">
        <v>70</v>
      </c>
      <c r="AX348" s="107"/>
      <c r="AY348" s="107"/>
      <c r="AZ348" s="107"/>
      <c r="BA348" s="107"/>
      <c r="BB348" s="107"/>
      <c r="BC348" s="107"/>
      <c r="BD348" s="107"/>
      <c r="BE348" s="107"/>
      <c r="BF348" s="107"/>
      <c r="BG348" s="321"/>
      <c r="BH348" s="285" t="s">
        <v>1561</v>
      </c>
    </row>
    <row r="349" spans="1:60" s="61" customFormat="1" ht="20.100000000000001" customHeight="1">
      <c r="A349" s="195">
        <v>344</v>
      </c>
      <c r="B349" s="196" t="s">
        <v>853</v>
      </c>
      <c r="C349" s="65" t="s">
        <v>72</v>
      </c>
      <c r="D349" s="65" t="s">
        <v>73</v>
      </c>
      <c r="E349" s="65" t="s">
        <v>857</v>
      </c>
      <c r="F349" s="65" t="s">
        <v>858</v>
      </c>
      <c r="G349" s="110">
        <v>32170</v>
      </c>
      <c r="H349" s="196">
        <v>1992</v>
      </c>
      <c r="I349" s="110">
        <v>8</v>
      </c>
      <c r="J349" s="110">
        <f t="shared" ref="J349:J368" si="42">SUM(K349:O349)</f>
        <v>483</v>
      </c>
      <c r="K349" s="110"/>
      <c r="L349" s="110"/>
      <c r="M349" s="110"/>
      <c r="N349" s="110">
        <v>243</v>
      </c>
      <c r="O349" s="110">
        <v>240</v>
      </c>
      <c r="P349" s="197"/>
      <c r="Q349" s="197"/>
      <c r="R349" s="197"/>
      <c r="S349" s="197"/>
      <c r="T349" s="197">
        <f t="shared" si="40"/>
        <v>0</v>
      </c>
      <c r="U349" s="110"/>
      <c r="V349" s="110"/>
      <c r="W349" s="110"/>
      <c r="X349" s="110"/>
      <c r="Y349" s="110"/>
      <c r="Z349" s="110"/>
      <c r="AA349" s="110"/>
      <c r="AB349" s="110"/>
      <c r="AC349" s="110"/>
      <c r="AD349" s="110"/>
      <c r="AE349" s="110">
        <f t="shared" si="41"/>
        <v>-483</v>
      </c>
      <c r="AF349" s="198"/>
      <c r="AG349" s="198" t="s">
        <v>859</v>
      </c>
      <c r="AH349" s="199"/>
      <c r="AI349" s="199"/>
      <c r="AJ349" s="196"/>
      <c r="AK349" s="196"/>
      <c r="AL349" s="196"/>
      <c r="AM349" s="200">
        <v>44351</v>
      </c>
      <c r="AN349" s="200">
        <v>47118</v>
      </c>
      <c r="AO349" s="107"/>
      <c r="AP349" s="107"/>
      <c r="AQ349" s="107"/>
      <c r="AR349" s="107"/>
      <c r="AS349" s="107"/>
      <c r="AT349" s="107"/>
      <c r="AU349" s="218"/>
      <c r="AV349" s="218" t="s">
        <v>70</v>
      </c>
      <c r="AW349" s="204" t="s">
        <v>70</v>
      </c>
      <c r="AX349" s="107"/>
      <c r="AY349" s="107"/>
      <c r="AZ349" s="107"/>
      <c r="BA349" s="107"/>
      <c r="BB349" s="107"/>
      <c r="BC349" s="107"/>
      <c r="BD349" s="107"/>
      <c r="BE349" s="107"/>
      <c r="BF349" s="107"/>
      <c r="BG349" s="321"/>
      <c r="BH349" s="285" t="s">
        <v>1562</v>
      </c>
    </row>
    <row r="350" spans="1:60" s="61" customFormat="1" ht="20.100000000000001" customHeight="1">
      <c r="A350" s="195">
        <v>345</v>
      </c>
      <c r="B350" s="196" t="s">
        <v>853</v>
      </c>
      <c r="C350" s="65" t="s">
        <v>72</v>
      </c>
      <c r="D350" s="65" t="s">
        <v>73</v>
      </c>
      <c r="E350" s="65" t="s">
        <v>860</v>
      </c>
      <c r="F350" s="65" t="s">
        <v>861</v>
      </c>
      <c r="G350" s="110">
        <v>19666</v>
      </c>
      <c r="H350" s="196">
        <v>1992</v>
      </c>
      <c r="I350" s="110">
        <v>11</v>
      </c>
      <c r="J350" s="110">
        <f t="shared" si="42"/>
        <v>360</v>
      </c>
      <c r="K350" s="110"/>
      <c r="L350" s="110">
        <v>90</v>
      </c>
      <c r="M350" s="110">
        <v>270</v>
      </c>
      <c r="N350" s="110"/>
      <c r="O350" s="110"/>
      <c r="P350" s="197"/>
      <c r="Q350" s="197"/>
      <c r="R350" s="197"/>
      <c r="S350" s="197"/>
      <c r="T350" s="197">
        <f t="shared" si="40"/>
        <v>0</v>
      </c>
      <c r="U350" s="110"/>
      <c r="V350" s="110"/>
      <c r="W350" s="110"/>
      <c r="X350" s="110"/>
      <c r="Y350" s="110"/>
      <c r="Z350" s="110"/>
      <c r="AA350" s="110"/>
      <c r="AB350" s="110"/>
      <c r="AC350" s="110"/>
      <c r="AD350" s="110"/>
      <c r="AE350" s="110">
        <f t="shared" si="41"/>
        <v>-360</v>
      </c>
      <c r="AF350" s="198"/>
      <c r="AG350" s="198" t="s">
        <v>859</v>
      </c>
      <c r="AH350" s="199"/>
      <c r="AI350" s="199"/>
      <c r="AJ350" s="196"/>
      <c r="AK350" s="196"/>
      <c r="AL350" s="196"/>
      <c r="AM350" s="200">
        <v>44351</v>
      </c>
      <c r="AN350" s="200">
        <v>47118</v>
      </c>
      <c r="AO350" s="107"/>
      <c r="AP350" s="107"/>
      <c r="AQ350" s="107"/>
      <c r="AR350" s="107"/>
      <c r="AS350" s="107"/>
      <c r="AT350" s="107"/>
      <c r="AU350" s="218"/>
      <c r="AV350" s="218" t="s">
        <v>70</v>
      </c>
      <c r="AW350" s="204" t="s">
        <v>70</v>
      </c>
      <c r="AX350" s="107"/>
      <c r="AY350" s="107"/>
      <c r="AZ350" s="107"/>
      <c r="BA350" s="107"/>
      <c r="BB350" s="107"/>
      <c r="BC350" s="107"/>
      <c r="BD350" s="107"/>
      <c r="BE350" s="107"/>
      <c r="BF350" s="107"/>
      <c r="BG350" s="321"/>
      <c r="BH350" s="285" t="s">
        <v>1562</v>
      </c>
    </row>
    <row r="351" spans="1:60" s="61" customFormat="1" ht="20.100000000000001" customHeight="1">
      <c r="A351" s="195">
        <v>346</v>
      </c>
      <c r="B351" s="196" t="s">
        <v>853</v>
      </c>
      <c r="C351" s="65" t="s">
        <v>72</v>
      </c>
      <c r="D351" s="65" t="s">
        <v>73</v>
      </c>
      <c r="E351" s="65" t="s">
        <v>862</v>
      </c>
      <c r="F351" s="65" t="s">
        <v>863</v>
      </c>
      <c r="G351" s="110">
        <v>8882</v>
      </c>
      <c r="H351" s="196">
        <v>1992</v>
      </c>
      <c r="I351" s="110">
        <v>3</v>
      </c>
      <c r="J351" s="110">
        <f t="shared" si="42"/>
        <v>299</v>
      </c>
      <c r="K351" s="110"/>
      <c r="L351" s="110"/>
      <c r="M351" s="110">
        <v>299</v>
      </c>
      <c r="N351" s="110"/>
      <c r="O351" s="110"/>
      <c r="P351" s="197"/>
      <c r="Q351" s="197"/>
      <c r="R351" s="197"/>
      <c r="S351" s="197"/>
      <c r="T351" s="197">
        <f t="shared" si="40"/>
        <v>0</v>
      </c>
      <c r="U351" s="110"/>
      <c r="V351" s="110"/>
      <c r="W351" s="110"/>
      <c r="X351" s="110"/>
      <c r="Y351" s="110"/>
      <c r="Z351" s="110"/>
      <c r="AA351" s="110"/>
      <c r="AB351" s="110"/>
      <c r="AC351" s="110"/>
      <c r="AD351" s="110"/>
      <c r="AE351" s="110">
        <f t="shared" si="41"/>
        <v>-299</v>
      </c>
      <c r="AF351" s="198"/>
      <c r="AG351" s="198" t="s">
        <v>859</v>
      </c>
      <c r="AH351" s="199"/>
      <c r="AI351" s="199"/>
      <c r="AJ351" s="196"/>
      <c r="AK351" s="196"/>
      <c r="AL351" s="196"/>
      <c r="AM351" s="200">
        <v>44351</v>
      </c>
      <c r="AN351" s="200">
        <v>47118</v>
      </c>
      <c r="AO351" s="107"/>
      <c r="AP351" s="107"/>
      <c r="AQ351" s="107"/>
      <c r="AR351" s="107"/>
      <c r="AS351" s="107"/>
      <c r="AT351" s="107"/>
      <c r="AU351" s="218"/>
      <c r="AV351" s="218" t="s">
        <v>70</v>
      </c>
      <c r="AW351" s="204" t="s">
        <v>70</v>
      </c>
      <c r="AX351" s="107"/>
      <c r="AY351" s="107"/>
      <c r="AZ351" s="107"/>
      <c r="BA351" s="107"/>
      <c r="BB351" s="107"/>
      <c r="BC351" s="107"/>
      <c r="BD351" s="107"/>
      <c r="BE351" s="107"/>
      <c r="BF351" s="107"/>
      <c r="BG351" s="321"/>
      <c r="BH351" s="285" t="s">
        <v>1562</v>
      </c>
    </row>
    <row r="352" spans="1:60" s="61" customFormat="1" ht="20.100000000000001" customHeight="1">
      <c r="A352" s="195">
        <v>347</v>
      </c>
      <c r="B352" s="196" t="s">
        <v>853</v>
      </c>
      <c r="C352" s="65" t="s">
        <v>72</v>
      </c>
      <c r="D352" s="65" t="s">
        <v>73</v>
      </c>
      <c r="E352" s="65" t="s">
        <v>864</v>
      </c>
      <c r="F352" s="65" t="s">
        <v>865</v>
      </c>
      <c r="G352" s="110">
        <v>11750</v>
      </c>
      <c r="H352" s="196">
        <v>1991</v>
      </c>
      <c r="I352" s="110">
        <v>2</v>
      </c>
      <c r="J352" s="110">
        <f t="shared" si="42"/>
        <v>300</v>
      </c>
      <c r="K352" s="110"/>
      <c r="L352" s="110"/>
      <c r="M352" s="110">
        <v>300</v>
      </c>
      <c r="N352" s="110"/>
      <c r="O352" s="110"/>
      <c r="P352" s="197"/>
      <c r="Q352" s="197"/>
      <c r="R352" s="197"/>
      <c r="S352" s="197"/>
      <c r="T352" s="197">
        <f t="shared" si="40"/>
        <v>0</v>
      </c>
      <c r="U352" s="110"/>
      <c r="V352" s="110"/>
      <c r="W352" s="110"/>
      <c r="X352" s="110"/>
      <c r="Y352" s="110"/>
      <c r="Z352" s="110"/>
      <c r="AA352" s="110"/>
      <c r="AB352" s="110"/>
      <c r="AC352" s="110"/>
      <c r="AD352" s="110"/>
      <c r="AE352" s="110">
        <f t="shared" si="41"/>
        <v>-300</v>
      </c>
      <c r="AF352" s="198"/>
      <c r="AG352" s="198" t="s">
        <v>859</v>
      </c>
      <c r="AH352" s="199"/>
      <c r="AI352" s="199"/>
      <c r="AJ352" s="196"/>
      <c r="AK352" s="196"/>
      <c r="AL352" s="196"/>
      <c r="AM352" s="200">
        <v>44351</v>
      </c>
      <c r="AN352" s="200">
        <v>47118</v>
      </c>
      <c r="AO352" s="107"/>
      <c r="AP352" s="107"/>
      <c r="AQ352" s="107"/>
      <c r="AR352" s="107"/>
      <c r="AS352" s="107"/>
      <c r="AT352" s="107"/>
      <c r="AU352" s="218"/>
      <c r="AV352" s="218" t="s">
        <v>70</v>
      </c>
      <c r="AW352" s="204" t="s">
        <v>70</v>
      </c>
      <c r="AX352" s="107"/>
      <c r="AY352" s="107"/>
      <c r="AZ352" s="107"/>
      <c r="BA352" s="107"/>
      <c r="BB352" s="107"/>
      <c r="BC352" s="107"/>
      <c r="BD352" s="107"/>
      <c r="BE352" s="107"/>
      <c r="BF352" s="107"/>
      <c r="BG352" s="321"/>
      <c r="BH352" s="285" t="s">
        <v>1562</v>
      </c>
    </row>
    <row r="353" spans="1:60" s="61" customFormat="1" ht="20.100000000000001" customHeight="1">
      <c r="A353" s="195">
        <v>348</v>
      </c>
      <c r="B353" s="196" t="s">
        <v>853</v>
      </c>
      <c r="C353" s="65" t="s">
        <v>72</v>
      </c>
      <c r="D353" s="65" t="s">
        <v>73</v>
      </c>
      <c r="E353" s="65" t="s">
        <v>866</v>
      </c>
      <c r="F353" s="65" t="s">
        <v>867</v>
      </c>
      <c r="G353" s="110">
        <v>13170</v>
      </c>
      <c r="H353" s="196">
        <v>1992</v>
      </c>
      <c r="I353" s="110">
        <v>3</v>
      </c>
      <c r="J353" s="110">
        <f t="shared" si="42"/>
        <v>216</v>
      </c>
      <c r="K353" s="110"/>
      <c r="L353" s="110"/>
      <c r="M353" s="110"/>
      <c r="N353" s="110">
        <v>216</v>
      </c>
      <c r="O353" s="110"/>
      <c r="P353" s="197"/>
      <c r="Q353" s="197"/>
      <c r="R353" s="197"/>
      <c r="S353" s="197"/>
      <c r="T353" s="197">
        <f t="shared" si="40"/>
        <v>0</v>
      </c>
      <c r="U353" s="110"/>
      <c r="V353" s="110"/>
      <c r="W353" s="110"/>
      <c r="X353" s="110"/>
      <c r="Y353" s="110"/>
      <c r="Z353" s="110"/>
      <c r="AA353" s="110"/>
      <c r="AB353" s="110"/>
      <c r="AC353" s="110"/>
      <c r="AD353" s="110"/>
      <c r="AE353" s="110">
        <f t="shared" si="41"/>
        <v>-216</v>
      </c>
      <c r="AF353" s="198"/>
      <c r="AG353" s="198" t="s">
        <v>859</v>
      </c>
      <c r="AH353" s="199"/>
      <c r="AI353" s="199"/>
      <c r="AJ353" s="196"/>
      <c r="AK353" s="196"/>
      <c r="AL353" s="196"/>
      <c r="AM353" s="200">
        <v>44351</v>
      </c>
      <c r="AN353" s="200">
        <v>47118</v>
      </c>
      <c r="AO353" s="107"/>
      <c r="AP353" s="107"/>
      <c r="AQ353" s="107"/>
      <c r="AR353" s="107"/>
      <c r="AS353" s="107"/>
      <c r="AT353" s="107"/>
      <c r="AU353" s="218"/>
      <c r="AV353" s="218" t="s">
        <v>70</v>
      </c>
      <c r="AW353" s="204" t="s">
        <v>70</v>
      </c>
      <c r="AX353" s="107"/>
      <c r="AY353" s="107"/>
      <c r="AZ353" s="107"/>
      <c r="BA353" s="107"/>
      <c r="BB353" s="107"/>
      <c r="BC353" s="107"/>
      <c r="BD353" s="107"/>
      <c r="BE353" s="107"/>
      <c r="BF353" s="107"/>
      <c r="BG353" s="321"/>
      <c r="BH353" s="285" t="s">
        <v>1562</v>
      </c>
    </row>
    <row r="354" spans="1:60" s="61" customFormat="1" ht="20.100000000000001" customHeight="1">
      <c r="A354" s="195">
        <v>349</v>
      </c>
      <c r="B354" s="196" t="s">
        <v>853</v>
      </c>
      <c r="C354" s="65" t="s">
        <v>72</v>
      </c>
      <c r="D354" s="65" t="s">
        <v>73</v>
      </c>
      <c r="E354" s="65" t="s">
        <v>868</v>
      </c>
      <c r="F354" s="65" t="s">
        <v>869</v>
      </c>
      <c r="G354" s="110">
        <v>24555</v>
      </c>
      <c r="H354" s="196">
        <v>1992</v>
      </c>
      <c r="I354" s="110">
        <v>14</v>
      </c>
      <c r="J354" s="110">
        <f t="shared" si="42"/>
        <v>414</v>
      </c>
      <c r="K354" s="110"/>
      <c r="L354" s="110"/>
      <c r="M354" s="110">
        <v>210</v>
      </c>
      <c r="N354" s="110">
        <v>204</v>
      </c>
      <c r="O354" s="110"/>
      <c r="P354" s="197"/>
      <c r="Q354" s="197"/>
      <c r="R354" s="197"/>
      <c r="S354" s="197"/>
      <c r="T354" s="197">
        <f t="shared" si="40"/>
        <v>0</v>
      </c>
      <c r="U354" s="110"/>
      <c r="V354" s="110"/>
      <c r="W354" s="110"/>
      <c r="X354" s="110"/>
      <c r="Y354" s="110"/>
      <c r="Z354" s="110"/>
      <c r="AA354" s="110"/>
      <c r="AB354" s="110"/>
      <c r="AC354" s="110"/>
      <c r="AD354" s="110"/>
      <c r="AE354" s="110">
        <f t="shared" si="41"/>
        <v>-414</v>
      </c>
      <c r="AF354" s="198"/>
      <c r="AG354" s="198" t="s">
        <v>859</v>
      </c>
      <c r="AH354" s="199"/>
      <c r="AI354" s="199"/>
      <c r="AJ354" s="196"/>
      <c r="AK354" s="196"/>
      <c r="AL354" s="196"/>
      <c r="AM354" s="200">
        <v>44351</v>
      </c>
      <c r="AN354" s="200">
        <v>47118</v>
      </c>
      <c r="AO354" s="107"/>
      <c r="AP354" s="107"/>
      <c r="AQ354" s="107"/>
      <c r="AR354" s="107"/>
      <c r="AS354" s="107"/>
      <c r="AT354" s="107"/>
      <c r="AU354" s="218"/>
      <c r="AV354" s="218" t="s">
        <v>70</v>
      </c>
      <c r="AW354" s="204" t="s">
        <v>70</v>
      </c>
      <c r="AX354" s="107"/>
      <c r="AY354" s="107"/>
      <c r="AZ354" s="107"/>
      <c r="BA354" s="107"/>
      <c r="BB354" s="107"/>
      <c r="BC354" s="107"/>
      <c r="BD354" s="107"/>
      <c r="BE354" s="107"/>
      <c r="BF354" s="107"/>
      <c r="BG354" s="321"/>
      <c r="BH354" s="285" t="s">
        <v>1562</v>
      </c>
    </row>
    <row r="355" spans="1:60" s="61" customFormat="1" ht="20.100000000000001" customHeight="1">
      <c r="A355" s="195">
        <v>350</v>
      </c>
      <c r="B355" s="196" t="s">
        <v>853</v>
      </c>
      <c r="C355" s="65" t="s">
        <v>72</v>
      </c>
      <c r="D355" s="65" t="s">
        <v>73</v>
      </c>
      <c r="E355" s="65" t="s">
        <v>870</v>
      </c>
      <c r="F355" s="65" t="s">
        <v>871</v>
      </c>
      <c r="G355" s="110">
        <v>27152</v>
      </c>
      <c r="H355" s="196">
        <v>1989</v>
      </c>
      <c r="I355" s="110">
        <v>11</v>
      </c>
      <c r="J355" s="110">
        <f t="shared" si="42"/>
        <v>520</v>
      </c>
      <c r="K355" s="110"/>
      <c r="L355" s="110"/>
      <c r="M355" s="110">
        <v>520</v>
      </c>
      <c r="N355" s="110"/>
      <c r="O355" s="110"/>
      <c r="P355" s="197"/>
      <c r="Q355" s="197"/>
      <c r="R355" s="197"/>
      <c r="S355" s="197"/>
      <c r="T355" s="197">
        <f t="shared" si="40"/>
        <v>0</v>
      </c>
      <c r="U355" s="110"/>
      <c r="V355" s="110"/>
      <c r="W355" s="110"/>
      <c r="X355" s="110"/>
      <c r="Y355" s="110"/>
      <c r="Z355" s="110"/>
      <c r="AA355" s="110"/>
      <c r="AB355" s="110"/>
      <c r="AC355" s="110"/>
      <c r="AD355" s="110"/>
      <c r="AE355" s="110">
        <f t="shared" si="41"/>
        <v>-520</v>
      </c>
      <c r="AF355" s="198"/>
      <c r="AG355" s="198" t="s">
        <v>859</v>
      </c>
      <c r="AH355" s="199"/>
      <c r="AI355" s="199"/>
      <c r="AJ355" s="196"/>
      <c r="AK355" s="196"/>
      <c r="AL355" s="196"/>
      <c r="AM355" s="200">
        <v>44351</v>
      </c>
      <c r="AN355" s="200">
        <v>46752</v>
      </c>
      <c r="AO355" s="107"/>
      <c r="AP355" s="107"/>
      <c r="AQ355" s="107"/>
      <c r="AR355" s="107"/>
      <c r="AS355" s="107"/>
      <c r="AT355" s="107"/>
      <c r="AU355" s="218"/>
      <c r="AV355" s="218" t="s">
        <v>70</v>
      </c>
      <c r="AW355" s="204" t="s">
        <v>70</v>
      </c>
      <c r="AX355" s="107"/>
      <c r="AY355" s="107"/>
      <c r="AZ355" s="107"/>
      <c r="BA355" s="107"/>
      <c r="BB355" s="107"/>
      <c r="BC355" s="107"/>
      <c r="BD355" s="107"/>
      <c r="BE355" s="107"/>
      <c r="BF355" s="107"/>
      <c r="BG355" s="321"/>
      <c r="BH355" s="285" t="s">
        <v>1562</v>
      </c>
    </row>
    <row r="356" spans="1:60" s="61" customFormat="1" ht="20.100000000000001" customHeight="1">
      <c r="A356" s="195">
        <v>351</v>
      </c>
      <c r="B356" s="196" t="s">
        <v>853</v>
      </c>
      <c r="C356" s="65" t="s">
        <v>72</v>
      </c>
      <c r="D356" s="65" t="s">
        <v>73</v>
      </c>
      <c r="E356" s="65" t="s">
        <v>872</v>
      </c>
      <c r="F356" s="65" t="s">
        <v>873</v>
      </c>
      <c r="G356" s="110">
        <v>19330</v>
      </c>
      <c r="H356" s="196">
        <v>1987</v>
      </c>
      <c r="I356" s="110">
        <v>12</v>
      </c>
      <c r="J356" s="110">
        <f t="shared" si="42"/>
        <v>420</v>
      </c>
      <c r="K356" s="110"/>
      <c r="L356" s="110"/>
      <c r="M356" s="110">
        <v>420</v>
      </c>
      <c r="N356" s="110"/>
      <c r="O356" s="110"/>
      <c r="P356" s="197"/>
      <c r="Q356" s="197"/>
      <c r="R356" s="197"/>
      <c r="S356" s="197"/>
      <c r="T356" s="197">
        <f t="shared" si="40"/>
        <v>0</v>
      </c>
      <c r="U356" s="110"/>
      <c r="V356" s="110"/>
      <c r="W356" s="110"/>
      <c r="X356" s="110"/>
      <c r="Y356" s="110"/>
      <c r="Z356" s="110"/>
      <c r="AA356" s="110"/>
      <c r="AB356" s="110"/>
      <c r="AC356" s="110"/>
      <c r="AD356" s="110"/>
      <c r="AE356" s="110">
        <f t="shared" si="41"/>
        <v>-420</v>
      </c>
      <c r="AF356" s="198"/>
      <c r="AG356" s="198" t="s">
        <v>859</v>
      </c>
      <c r="AH356" s="199"/>
      <c r="AI356" s="199"/>
      <c r="AJ356" s="196"/>
      <c r="AK356" s="196"/>
      <c r="AL356" s="196"/>
      <c r="AM356" s="200">
        <v>44351</v>
      </c>
      <c r="AN356" s="200">
        <v>47118</v>
      </c>
      <c r="AO356" s="107"/>
      <c r="AP356" s="107"/>
      <c r="AQ356" s="107"/>
      <c r="AR356" s="107"/>
      <c r="AS356" s="107"/>
      <c r="AT356" s="107"/>
      <c r="AU356" s="218"/>
      <c r="AV356" s="218" t="s">
        <v>70</v>
      </c>
      <c r="AW356" s="204" t="s">
        <v>70</v>
      </c>
      <c r="AX356" s="107"/>
      <c r="AY356" s="107"/>
      <c r="AZ356" s="107"/>
      <c r="BA356" s="107"/>
      <c r="BB356" s="107"/>
      <c r="BC356" s="107"/>
      <c r="BD356" s="107"/>
      <c r="BE356" s="107"/>
      <c r="BF356" s="107"/>
      <c r="BG356" s="321"/>
      <c r="BH356" s="285" t="s">
        <v>1562</v>
      </c>
    </row>
    <row r="357" spans="1:60" s="61" customFormat="1" ht="20.100000000000001" customHeight="1">
      <c r="A357" s="195">
        <v>352</v>
      </c>
      <c r="B357" s="196" t="s">
        <v>853</v>
      </c>
      <c r="C357" s="65" t="s">
        <v>72</v>
      </c>
      <c r="D357" s="65" t="s">
        <v>73</v>
      </c>
      <c r="E357" s="65" t="s">
        <v>876</v>
      </c>
      <c r="F357" s="65" t="s">
        <v>877</v>
      </c>
      <c r="G357" s="110">
        <v>27173</v>
      </c>
      <c r="H357" s="196">
        <v>1990</v>
      </c>
      <c r="I357" s="110">
        <v>13</v>
      </c>
      <c r="J357" s="110">
        <f t="shared" si="42"/>
        <v>490</v>
      </c>
      <c r="K357" s="110"/>
      <c r="L357" s="110">
        <v>490</v>
      </c>
      <c r="M357" s="110"/>
      <c r="N357" s="110"/>
      <c r="O357" s="110"/>
      <c r="P357" s="197"/>
      <c r="Q357" s="197"/>
      <c r="R357" s="197"/>
      <c r="S357" s="197"/>
      <c r="T357" s="197">
        <f t="shared" si="40"/>
        <v>0</v>
      </c>
      <c r="U357" s="110"/>
      <c r="V357" s="110"/>
      <c r="W357" s="110"/>
      <c r="X357" s="110"/>
      <c r="Y357" s="110"/>
      <c r="Z357" s="110"/>
      <c r="AA357" s="110"/>
      <c r="AB357" s="110"/>
      <c r="AC357" s="110"/>
      <c r="AD357" s="110"/>
      <c r="AE357" s="110">
        <f t="shared" si="41"/>
        <v>-490</v>
      </c>
      <c r="AF357" s="198"/>
      <c r="AG357" s="198" t="s">
        <v>859</v>
      </c>
      <c r="AH357" s="199"/>
      <c r="AI357" s="199"/>
      <c r="AJ357" s="196"/>
      <c r="AK357" s="196"/>
      <c r="AL357" s="196"/>
      <c r="AM357" s="200">
        <v>44351</v>
      </c>
      <c r="AN357" s="200">
        <v>46752</v>
      </c>
      <c r="AO357" s="107"/>
      <c r="AP357" s="107"/>
      <c r="AQ357" s="107"/>
      <c r="AR357" s="107"/>
      <c r="AS357" s="107"/>
      <c r="AT357" s="107"/>
      <c r="AU357" s="218"/>
      <c r="AV357" s="218" t="s">
        <v>70</v>
      </c>
      <c r="AW357" s="204" t="s">
        <v>70</v>
      </c>
      <c r="AX357" s="107"/>
      <c r="AY357" s="107"/>
      <c r="AZ357" s="107"/>
      <c r="BA357" s="107"/>
      <c r="BB357" s="107"/>
      <c r="BC357" s="107"/>
      <c r="BD357" s="107"/>
      <c r="BE357" s="107"/>
      <c r="BF357" s="107"/>
      <c r="BG357" s="321"/>
      <c r="BH357" s="285" t="s">
        <v>1562</v>
      </c>
    </row>
    <row r="358" spans="1:60" s="61" customFormat="1" ht="20.100000000000001" customHeight="1">
      <c r="A358" s="195">
        <v>353</v>
      </c>
      <c r="B358" s="196" t="s">
        <v>853</v>
      </c>
      <c r="C358" s="65" t="s">
        <v>72</v>
      </c>
      <c r="D358" s="65" t="s">
        <v>73</v>
      </c>
      <c r="E358" s="65" t="s">
        <v>878</v>
      </c>
      <c r="F358" s="65" t="s">
        <v>879</v>
      </c>
      <c r="G358" s="110">
        <v>58242</v>
      </c>
      <c r="H358" s="196">
        <v>1993</v>
      </c>
      <c r="I358" s="110">
        <v>14</v>
      </c>
      <c r="J358" s="110">
        <f t="shared" si="42"/>
        <v>1266</v>
      </c>
      <c r="K358" s="110"/>
      <c r="L358" s="110"/>
      <c r="M358" s="110"/>
      <c r="N358" s="110">
        <v>1146</v>
      </c>
      <c r="O358" s="110">
        <v>120</v>
      </c>
      <c r="P358" s="197"/>
      <c r="Q358" s="197"/>
      <c r="R358" s="197"/>
      <c r="S358" s="197"/>
      <c r="T358" s="197">
        <f t="shared" si="40"/>
        <v>0</v>
      </c>
      <c r="U358" s="110"/>
      <c r="V358" s="110"/>
      <c r="W358" s="110"/>
      <c r="X358" s="110"/>
      <c r="Y358" s="110"/>
      <c r="Z358" s="110"/>
      <c r="AA358" s="110"/>
      <c r="AB358" s="110"/>
      <c r="AC358" s="110"/>
      <c r="AD358" s="110"/>
      <c r="AE358" s="110">
        <f t="shared" si="41"/>
        <v>-1266</v>
      </c>
      <c r="AF358" s="198"/>
      <c r="AG358" s="198" t="s">
        <v>880</v>
      </c>
      <c r="AH358" s="199"/>
      <c r="AI358" s="199"/>
      <c r="AJ358" s="196"/>
      <c r="AK358" s="196"/>
      <c r="AL358" s="196"/>
      <c r="AM358" s="200">
        <v>44351</v>
      </c>
      <c r="AN358" s="200">
        <v>47118</v>
      </c>
      <c r="AO358" s="107"/>
      <c r="AP358" s="107"/>
      <c r="AQ358" s="107"/>
      <c r="AR358" s="107"/>
      <c r="AS358" s="107"/>
      <c r="AT358" s="107"/>
      <c r="AU358" s="218"/>
      <c r="AV358" s="218" t="s">
        <v>70</v>
      </c>
      <c r="AW358" s="204" t="s">
        <v>70</v>
      </c>
      <c r="AX358" s="107"/>
      <c r="AY358" s="107"/>
      <c r="AZ358" s="107"/>
      <c r="BA358" s="107"/>
      <c r="BB358" s="107"/>
      <c r="BC358" s="107"/>
      <c r="BD358" s="107"/>
      <c r="BE358" s="107"/>
      <c r="BF358" s="107"/>
      <c r="BG358" s="321"/>
      <c r="BH358" s="285" t="s">
        <v>1562</v>
      </c>
    </row>
    <row r="359" spans="1:60" s="61" customFormat="1" ht="20.100000000000001" customHeight="1">
      <c r="A359" s="195">
        <v>354</v>
      </c>
      <c r="B359" s="196" t="s">
        <v>853</v>
      </c>
      <c r="C359" s="65" t="s">
        <v>72</v>
      </c>
      <c r="D359" s="65" t="s">
        <v>73</v>
      </c>
      <c r="E359" s="65" t="s">
        <v>881</v>
      </c>
      <c r="F359" s="65" t="s">
        <v>882</v>
      </c>
      <c r="G359" s="110">
        <v>59695</v>
      </c>
      <c r="H359" s="196">
        <v>1992</v>
      </c>
      <c r="I359" s="110">
        <v>23</v>
      </c>
      <c r="J359" s="110">
        <f t="shared" si="42"/>
        <v>1164</v>
      </c>
      <c r="K359" s="110"/>
      <c r="L359" s="110">
        <f>684+480</f>
        <v>1164</v>
      </c>
      <c r="M359" s="110"/>
      <c r="N359" s="110"/>
      <c r="O359" s="110"/>
      <c r="P359" s="197"/>
      <c r="Q359" s="197"/>
      <c r="R359" s="197"/>
      <c r="S359" s="197"/>
      <c r="T359" s="197">
        <f t="shared" ref="T359:T391" si="43">U359+AA359</f>
        <v>0</v>
      </c>
      <c r="U359" s="110"/>
      <c r="V359" s="110"/>
      <c r="W359" s="110"/>
      <c r="X359" s="110"/>
      <c r="Y359" s="110"/>
      <c r="Z359" s="110"/>
      <c r="AA359" s="110"/>
      <c r="AB359" s="110"/>
      <c r="AC359" s="110"/>
      <c r="AD359" s="110"/>
      <c r="AE359" s="110">
        <f t="shared" si="41"/>
        <v>-1164</v>
      </c>
      <c r="AF359" s="198"/>
      <c r="AG359" s="198" t="s">
        <v>859</v>
      </c>
      <c r="AH359" s="199"/>
      <c r="AI359" s="199"/>
      <c r="AJ359" s="196"/>
      <c r="AK359" s="196"/>
      <c r="AL359" s="196"/>
      <c r="AM359" s="200">
        <v>44351</v>
      </c>
      <c r="AN359" s="200">
        <v>46752</v>
      </c>
      <c r="AO359" s="107"/>
      <c r="AP359" s="107"/>
      <c r="AQ359" s="107"/>
      <c r="AR359" s="107"/>
      <c r="AS359" s="107"/>
      <c r="AT359" s="107"/>
      <c r="AU359" s="218"/>
      <c r="AV359" s="218" t="s">
        <v>70</v>
      </c>
      <c r="AW359" s="204" t="s">
        <v>70</v>
      </c>
      <c r="AX359" s="107"/>
      <c r="AY359" s="107"/>
      <c r="AZ359" s="107"/>
      <c r="BA359" s="107"/>
      <c r="BB359" s="107"/>
      <c r="BC359" s="107"/>
      <c r="BD359" s="107"/>
      <c r="BE359" s="107"/>
      <c r="BF359" s="107"/>
      <c r="BG359" s="321"/>
      <c r="BH359" s="285" t="s">
        <v>1563</v>
      </c>
    </row>
    <row r="360" spans="1:60" s="61" customFormat="1" ht="20.100000000000001" customHeight="1">
      <c r="A360" s="195">
        <v>355</v>
      </c>
      <c r="B360" s="196" t="s">
        <v>853</v>
      </c>
      <c r="C360" s="65" t="s">
        <v>72</v>
      </c>
      <c r="D360" s="65" t="s">
        <v>73</v>
      </c>
      <c r="E360" s="65" t="s">
        <v>883</v>
      </c>
      <c r="F360" s="65" t="s">
        <v>884</v>
      </c>
      <c r="G360" s="110">
        <v>27930</v>
      </c>
      <c r="H360" s="196">
        <v>1992</v>
      </c>
      <c r="I360" s="110">
        <v>7</v>
      </c>
      <c r="J360" s="110">
        <f t="shared" si="42"/>
        <v>612</v>
      </c>
      <c r="K360" s="110"/>
      <c r="L360" s="110"/>
      <c r="M360" s="110">
        <v>78</v>
      </c>
      <c r="N360" s="110">
        <v>534</v>
      </c>
      <c r="O360" s="110"/>
      <c r="P360" s="197"/>
      <c r="Q360" s="197"/>
      <c r="R360" s="197"/>
      <c r="S360" s="197"/>
      <c r="T360" s="197">
        <f t="shared" si="43"/>
        <v>0</v>
      </c>
      <c r="U360" s="110"/>
      <c r="V360" s="110"/>
      <c r="W360" s="110"/>
      <c r="X360" s="110"/>
      <c r="Y360" s="110"/>
      <c r="Z360" s="110"/>
      <c r="AA360" s="110"/>
      <c r="AB360" s="110"/>
      <c r="AC360" s="110"/>
      <c r="AD360" s="110"/>
      <c r="AE360" s="110">
        <f t="shared" si="41"/>
        <v>-612</v>
      </c>
      <c r="AF360" s="198"/>
      <c r="AG360" s="198" t="s">
        <v>859</v>
      </c>
      <c r="AH360" s="199"/>
      <c r="AI360" s="199"/>
      <c r="AJ360" s="196"/>
      <c r="AK360" s="196"/>
      <c r="AL360" s="196"/>
      <c r="AM360" s="200">
        <v>44351</v>
      </c>
      <c r="AN360" s="200">
        <v>47118</v>
      </c>
      <c r="AO360" s="107"/>
      <c r="AP360" s="107"/>
      <c r="AQ360" s="107"/>
      <c r="AR360" s="107"/>
      <c r="AS360" s="107"/>
      <c r="AT360" s="107"/>
      <c r="AU360" s="218"/>
      <c r="AV360" s="218" t="s">
        <v>70</v>
      </c>
      <c r="AW360" s="204" t="s">
        <v>70</v>
      </c>
      <c r="AX360" s="107"/>
      <c r="AY360" s="107"/>
      <c r="AZ360" s="107"/>
      <c r="BA360" s="107"/>
      <c r="BB360" s="107"/>
      <c r="BC360" s="107"/>
      <c r="BD360" s="107"/>
      <c r="BE360" s="107"/>
      <c r="BF360" s="107"/>
      <c r="BG360" s="321"/>
      <c r="BH360" s="285" t="s">
        <v>1563</v>
      </c>
    </row>
    <row r="361" spans="1:60" s="61" customFormat="1" ht="20.100000000000001" customHeight="1">
      <c r="A361" s="195">
        <v>356</v>
      </c>
      <c r="B361" s="196" t="s">
        <v>853</v>
      </c>
      <c r="C361" s="65" t="s">
        <v>72</v>
      </c>
      <c r="D361" s="65" t="s">
        <v>73</v>
      </c>
      <c r="E361" s="65" t="s">
        <v>885</v>
      </c>
      <c r="F361" s="65" t="s">
        <v>886</v>
      </c>
      <c r="G361" s="110">
        <v>11310</v>
      </c>
      <c r="H361" s="196">
        <v>1997</v>
      </c>
      <c r="I361" s="110">
        <v>5</v>
      </c>
      <c r="J361" s="110">
        <f t="shared" si="42"/>
        <v>90</v>
      </c>
      <c r="K361" s="110"/>
      <c r="L361" s="110"/>
      <c r="M361" s="110"/>
      <c r="N361" s="110">
        <v>90</v>
      </c>
      <c r="O361" s="110"/>
      <c r="P361" s="197"/>
      <c r="Q361" s="197"/>
      <c r="R361" s="197"/>
      <c r="S361" s="197"/>
      <c r="T361" s="197">
        <f t="shared" si="43"/>
        <v>0</v>
      </c>
      <c r="U361" s="110"/>
      <c r="V361" s="110"/>
      <c r="W361" s="110"/>
      <c r="X361" s="110"/>
      <c r="Y361" s="110"/>
      <c r="Z361" s="110"/>
      <c r="AA361" s="110"/>
      <c r="AB361" s="110"/>
      <c r="AC361" s="110"/>
      <c r="AD361" s="110"/>
      <c r="AE361" s="110">
        <f t="shared" si="41"/>
        <v>-90</v>
      </c>
      <c r="AF361" s="198"/>
      <c r="AG361" s="198" t="s">
        <v>887</v>
      </c>
      <c r="AH361" s="199"/>
      <c r="AI361" s="199"/>
      <c r="AJ361" s="196"/>
      <c r="AK361" s="196"/>
      <c r="AL361" s="196"/>
      <c r="AM361" s="200">
        <v>44351</v>
      </c>
      <c r="AN361" s="200">
        <v>47118</v>
      </c>
      <c r="AO361" s="107"/>
      <c r="AP361" s="107"/>
      <c r="AQ361" s="107"/>
      <c r="AR361" s="107"/>
      <c r="AS361" s="107"/>
      <c r="AT361" s="107"/>
      <c r="AU361" s="218"/>
      <c r="AV361" s="218" t="s">
        <v>70</v>
      </c>
      <c r="AW361" s="204" t="s">
        <v>70</v>
      </c>
      <c r="AX361" s="107"/>
      <c r="AY361" s="107"/>
      <c r="AZ361" s="107"/>
      <c r="BA361" s="107"/>
      <c r="BB361" s="107"/>
      <c r="BC361" s="107"/>
      <c r="BD361" s="107"/>
      <c r="BE361" s="107"/>
      <c r="BF361" s="107"/>
      <c r="BG361" s="321"/>
      <c r="BH361" s="285" t="s">
        <v>1563</v>
      </c>
    </row>
    <row r="362" spans="1:60" s="61" customFormat="1" ht="20.100000000000001" customHeight="1">
      <c r="A362" s="195">
        <v>357</v>
      </c>
      <c r="B362" s="196" t="s">
        <v>853</v>
      </c>
      <c r="C362" s="65" t="s">
        <v>72</v>
      </c>
      <c r="D362" s="65" t="s">
        <v>112</v>
      </c>
      <c r="E362" s="65" t="s">
        <v>888</v>
      </c>
      <c r="F362" s="65" t="s">
        <v>889</v>
      </c>
      <c r="G362" s="110">
        <v>53185</v>
      </c>
      <c r="H362" s="196" t="s">
        <v>890</v>
      </c>
      <c r="I362" s="110">
        <v>172</v>
      </c>
      <c r="J362" s="110">
        <f t="shared" si="42"/>
        <v>0</v>
      </c>
      <c r="K362" s="110"/>
      <c r="L362" s="110"/>
      <c r="M362" s="110"/>
      <c r="N362" s="110"/>
      <c r="O362" s="110"/>
      <c r="P362" s="197"/>
      <c r="Q362" s="197"/>
      <c r="R362" s="197"/>
      <c r="S362" s="197"/>
      <c r="T362" s="197">
        <f t="shared" si="43"/>
        <v>0</v>
      </c>
      <c r="U362" s="110"/>
      <c r="V362" s="110"/>
      <c r="W362" s="110"/>
      <c r="X362" s="110"/>
      <c r="Y362" s="110"/>
      <c r="Z362" s="110"/>
      <c r="AA362" s="110"/>
      <c r="AB362" s="110"/>
      <c r="AC362" s="110"/>
      <c r="AD362" s="110"/>
      <c r="AE362" s="110">
        <f t="shared" si="41"/>
        <v>0</v>
      </c>
      <c r="AF362" s="198"/>
      <c r="AG362" s="198"/>
      <c r="AH362" s="199"/>
      <c r="AI362" s="199"/>
      <c r="AJ362" s="196"/>
      <c r="AK362" s="196"/>
      <c r="AL362" s="196"/>
      <c r="AM362" s="200">
        <v>44351</v>
      </c>
      <c r="AN362" s="200">
        <v>46752</v>
      </c>
      <c r="AO362" s="107"/>
      <c r="AP362" s="107"/>
      <c r="AQ362" s="107"/>
      <c r="AR362" s="107"/>
      <c r="AS362" s="107"/>
      <c r="AT362" s="107"/>
      <c r="AU362" s="218"/>
      <c r="AV362" s="218" t="s">
        <v>70</v>
      </c>
      <c r="AW362" s="204" t="s">
        <v>70</v>
      </c>
      <c r="AX362" s="107"/>
      <c r="AY362" s="107"/>
      <c r="AZ362" s="107"/>
      <c r="BA362" s="107"/>
      <c r="BB362" s="107"/>
      <c r="BC362" s="107"/>
      <c r="BD362" s="107"/>
      <c r="BE362" s="107"/>
      <c r="BF362" s="107"/>
      <c r="BG362" s="321"/>
      <c r="BH362" s="285" t="s">
        <v>1564</v>
      </c>
    </row>
    <row r="363" spans="1:60" s="61" customFormat="1" ht="20.100000000000001" customHeight="1">
      <c r="A363" s="195">
        <v>358</v>
      </c>
      <c r="B363" s="196" t="s">
        <v>853</v>
      </c>
      <c r="C363" s="65" t="s">
        <v>72</v>
      </c>
      <c r="D363" s="65" t="s">
        <v>112</v>
      </c>
      <c r="E363" s="65" t="s">
        <v>891</v>
      </c>
      <c r="F363" s="65" t="s">
        <v>892</v>
      </c>
      <c r="G363" s="110">
        <v>40968</v>
      </c>
      <c r="H363" s="196" t="s">
        <v>893</v>
      </c>
      <c r="I363" s="110">
        <v>196</v>
      </c>
      <c r="J363" s="110">
        <f t="shared" si="42"/>
        <v>0</v>
      </c>
      <c r="K363" s="110"/>
      <c r="L363" s="110"/>
      <c r="M363" s="110"/>
      <c r="N363" s="110"/>
      <c r="O363" s="110"/>
      <c r="P363" s="197"/>
      <c r="Q363" s="197"/>
      <c r="R363" s="197"/>
      <c r="S363" s="197"/>
      <c r="T363" s="197">
        <f t="shared" si="43"/>
        <v>0</v>
      </c>
      <c r="U363" s="110"/>
      <c r="V363" s="110"/>
      <c r="W363" s="110"/>
      <c r="X363" s="110"/>
      <c r="Y363" s="110"/>
      <c r="Z363" s="110"/>
      <c r="AA363" s="110"/>
      <c r="AB363" s="110"/>
      <c r="AC363" s="110"/>
      <c r="AD363" s="110"/>
      <c r="AE363" s="110">
        <f t="shared" si="41"/>
        <v>0</v>
      </c>
      <c r="AF363" s="198"/>
      <c r="AG363" s="198"/>
      <c r="AH363" s="199"/>
      <c r="AI363" s="199"/>
      <c r="AJ363" s="196"/>
      <c r="AK363" s="196"/>
      <c r="AL363" s="196"/>
      <c r="AM363" s="200">
        <v>44351</v>
      </c>
      <c r="AN363" s="200">
        <v>45291</v>
      </c>
      <c r="AO363" s="107"/>
      <c r="AP363" s="107"/>
      <c r="AQ363" s="107"/>
      <c r="AR363" s="107"/>
      <c r="AS363" s="107"/>
      <c r="AT363" s="107"/>
      <c r="AU363" s="218"/>
      <c r="AV363" s="218" t="s">
        <v>70</v>
      </c>
      <c r="AW363" s="204" t="s">
        <v>70</v>
      </c>
      <c r="AX363" s="107"/>
      <c r="AY363" s="107"/>
      <c r="AZ363" s="107"/>
      <c r="BA363" s="107"/>
      <c r="BB363" s="107"/>
      <c r="BC363" s="107"/>
      <c r="BD363" s="107"/>
      <c r="BE363" s="107"/>
      <c r="BF363" s="107"/>
      <c r="BG363" s="321"/>
      <c r="BH363" s="285" t="s">
        <v>1564</v>
      </c>
    </row>
    <row r="364" spans="1:60" s="61" customFormat="1" ht="20.100000000000001" customHeight="1">
      <c r="A364" s="195">
        <v>359</v>
      </c>
      <c r="B364" s="196" t="s">
        <v>853</v>
      </c>
      <c r="C364" s="65" t="s">
        <v>72</v>
      </c>
      <c r="D364" s="65" t="s">
        <v>112</v>
      </c>
      <c r="E364" s="65" t="s">
        <v>894</v>
      </c>
      <c r="F364" s="65" t="s">
        <v>895</v>
      </c>
      <c r="G364" s="110">
        <v>55457</v>
      </c>
      <c r="H364" s="196" t="s">
        <v>896</v>
      </c>
      <c r="I364" s="110">
        <v>178</v>
      </c>
      <c r="J364" s="110">
        <f t="shared" si="42"/>
        <v>0</v>
      </c>
      <c r="K364" s="110"/>
      <c r="L364" s="110"/>
      <c r="M364" s="110"/>
      <c r="N364" s="110"/>
      <c r="O364" s="110"/>
      <c r="P364" s="197"/>
      <c r="Q364" s="197"/>
      <c r="R364" s="197"/>
      <c r="S364" s="197"/>
      <c r="T364" s="197">
        <f t="shared" si="43"/>
        <v>0</v>
      </c>
      <c r="U364" s="110"/>
      <c r="V364" s="110"/>
      <c r="W364" s="110"/>
      <c r="X364" s="110"/>
      <c r="Y364" s="110"/>
      <c r="Z364" s="110"/>
      <c r="AA364" s="110"/>
      <c r="AB364" s="110"/>
      <c r="AC364" s="110"/>
      <c r="AD364" s="110"/>
      <c r="AE364" s="110">
        <f t="shared" si="41"/>
        <v>0</v>
      </c>
      <c r="AF364" s="198"/>
      <c r="AG364" s="198"/>
      <c r="AH364" s="199"/>
      <c r="AI364" s="199"/>
      <c r="AJ364" s="196"/>
      <c r="AK364" s="196"/>
      <c r="AL364" s="196"/>
      <c r="AM364" s="200">
        <v>44351</v>
      </c>
      <c r="AN364" s="200">
        <v>45291</v>
      </c>
      <c r="AO364" s="107"/>
      <c r="AP364" s="107"/>
      <c r="AQ364" s="107"/>
      <c r="AR364" s="107"/>
      <c r="AS364" s="107"/>
      <c r="AT364" s="107"/>
      <c r="AU364" s="218"/>
      <c r="AV364" s="218" t="s">
        <v>70</v>
      </c>
      <c r="AW364" s="204" t="s">
        <v>70</v>
      </c>
      <c r="AX364" s="107"/>
      <c r="AY364" s="107"/>
      <c r="AZ364" s="107"/>
      <c r="BA364" s="107"/>
      <c r="BB364" s="107"/>
      <c r="BC364" s="107"/>
      <c r="BD364" s="107"/>
      <c r="BE364" s="107"/>
      <c r="BF364" s="107"/>
      <c r="BG364" s="321"/>
      <c r="BH364" s="285" t="s">
        <v>1564</v>
      </c>
    </row>
    <row r="365" spans="1:60" s="61" customFormat="1" ht="20.100000000000001" customHeight="1">
      <c r="A365" s="195">
        <v>360</v>
      </c>
      <c r="B365" s="196" t="s">
        <v>853</v>
      </c>
      <c r="C365" s="65" t="s">
        <v>72</v>
      </c>
      <c r="D365" s="65" t="s">
        <v>112</v>
      </c>
      <c r="E365" s="65" t="s">
        <v>897</v>
      </c>
      <c r="F365" s="65" t="s">
        <v>898</v>
      </c>
      <c r="G365" s="110">
        <v>64789</v>
      </c>
      <c r="H365" s="196" t="s">
        <v>899</v>
      </c>
      <c r="I365" s="110">
        <v>215</v>
      </c>
      <c r="J365" s="110">
        <f t="shared" si="42"/>
        <v>0</v>
      </c>
      <c r="K365" s="110"/>
      <c r="L365" s="110"/>
      <c r="M365" s="110"/>
      <c r="N365" s="110"/>
      <c r="O365" s="110"/>
      <c r="P365" s="197"/>
      <c r="Q365" s="197"/>
      <c r="R365" s="197"/>
      <c r="S365" s="197"/>
      <c r="T365" s="197">
        <f t="shared" si="43"/>
        <v>0</v>
      </c>
      <c r="U365" s="110"/>
      <c r="V365" s="110"/>
      <c r="W365" s="110"/>
      <c r="X365" s="110"/>
      <c r="Y365" s="110"/>
      <c r="Z365" s="110"/>
      <c r="AA365" s="110"/>
      <c r="AB365" s="110"/>
      <c r="AC365" s="110"/>
      <c r="AD365" s="110"/>
      <c r="AE365" s="110">
        <f t="shared" si="41"/>
        <v>0</v>
      </c>
      <c r="AF365" s="198"/>
      <c r="AG365" s="198"/>
      <c r="AH365" s="199"/>
      <c r="AI365" s="199"/>
      <c r="AJ365" s="196"/>
      <c r="AK365" s="196"/>
      <c r="AL365" s="196"/>
      <c r="AM365" s="200">
        <v>44351</v>
      </c>
      <c r="AN365" s="200">
        <v>45291</v>
      </c>
      <c r="AO365" s="107"/>
      <c r="AP365" s="107"/>
      <c r="AQ365" s="107"/>
      <c r="AR365" s="107"/>
      <c r="AS365" s="107"/>
      <c r="AT365" s="107"/>
      <c r="AU365" s="218"/>
      <c r="AV365" s="218" t="s">
        <v>70</v>
      </c>
      <c r="AW365" s="204" t="s">
        <v>70</v>
      </c>
      <c r="AX365" s="107"/>
      <c r="AY365" s="107"/>
      <c r="AZ365" s="107"/>
      <c r="BA365" s="107"/>
      <c r="BB365" s="107"/>
      <c r="BC365" s="107"/>
      <c r="BD365" s="107"/>
      <c r="BE365" s="107"/>
      <c r="BF365" s="107"/>
      <c r="BG365" s="321"/>
      <c r="BH365" s="285" t="s">
        <v>1564</v>
      </c>
    </row>
    <row r="366" spans="1:60" s="61" customFormat="1" ht="20.100000000000001" customHeight="1">
      <c r="A366" s="195">
        <v>361</v>
      </c>
      <c r="B366" s="196" t="s">
        <v>853</v>
      </c>
      <c r="C366" s="65" t="s">
        <v>72</v>
      </c>
      <c r="D366" s="65" t="s">
        <v>112</v>
      </c>
      <c r="E366" s="65" t="s">
        <v>900</v>
      </c>
      <c r="F366" s="65" t="s">
        <v>901</v>
      </c>
      <c r="G366" s="110">
        <v>67895</v>
      </c>
      <c r="H366" s="196" t="s">
        <v>902</v>
      </c>
      <c r="I366" s="110">
        <v>202</v>
      </c>
      <c r="J366" s="110">
        <f t="shared" si="42"/>
        <v>0</v>
      </c>
      <c r="K366" s="110"/>
      <c r="L366" s="110"/>
      <c r="M366" s="110"/>
      <c r="N366" s="110"/>
      <c r="O366" s="110"/>
      <c r="P366" s="197"/>
      <c r="Q366" s="197"/>
      <c r="R366" s="197"/>
      <c r="S366" s="197"/>
      <c r="T366" s="197">
        <f t="shared" si="43"/>
        <v>0</v>
      </c>
      <c r="U366" s="110"/>
      <c r="V366" s="110"/>
      <c r="W366" s="110"/>
      <c r="X366" s="110"/>
      <c r="Y366" s="110"/>
      <c r="Z366" s="110"/>
      <c r="AA366" s="110"/>
      <c r="AB366" s="110"/>
      <c r="AC366" s="110"/>
      <c r="AD366" s="110"/>
      <c r="AE366" s="110">
        <f t="shared" si="41"/>
        <v>0</v>
      </c>
      <c r="AF366" s="198"/>
      <c r="AG366" s="198"/>
      <c r="AH366" s="199"/>
      <c r="AI366" s="199"/>
      <c r="AJ366" s="196"/>
      <c r="AK366" s="196"/>
      <c r="AL366" s="196"/>
      <c r="AM366" s="200">
        <v>44351</v>
      </c>
      <c r="AN366" s="200">
        <v>47118</v>
      </c>
      <c r="AO366" s="107"/>
      <c r="AP366" s="107"/>
      <c r="AQ366" s="107"/>
      <c r="AR366" s="107"/>
      <c r="AS366" s="107"/>
      <c r="AT366" s="107"/>
      <c r="AU366" s="218"/>
      <c r="AV366" s="218" t="s">
        <v>70</v>
      </c>
      <c r="AW366" s="204" t="s">
        <v>70</v>
      </c>
      <c r="AX366" s="107"/>
      <c r="AY366" s="107"/>
      <c r="AZ366" s="107"/>
      <c r="BA366" s="107"/>
      <c r="BB366" s="107"/>
      <c r="BC366" s="107"/>
      <c r="BD366" s="107"/>
      <c r="BE366" s="107"/>
      <c r="BF366" s="107"/>
      <c r="BG366" s="321"/>
      <c r="BH366" s="285" t="s">
        <v>1564</v>
      </c>
    </row>
    <row r="367" spans="1:60" s="61" customFormat="1" ht="20.100000000000001" customHeight="1">
      <c r="A367" s="195">
        <v>362</v>
      </c>
      <c r="B367" s="196" t="s">
        <v>853</v>
      </c>
      <c r="C367" s="65" t="s">
        <v>72</v>
      </c>
      <c r="D367" s="65" t="s">
        <v>112</v>
      </c>
      <c r="E367" s="65" t="s">
        <v>903</v>
      </c>
      <c r="F367" s="65" t="s">
        <v>904</v>
      </c>
      <c r="G367" s="110">
        <v>61461</v>
      </c>
      <c r="H367" s="196" t="s">
        <v>905</v>
      </c>
      <c r="I367" s="110">
        <v>171</v>
      </c>
      <c r="J367" s="110">
        <f t="shared" si="42"/>
        <v>0</v>
      </c>
      <c r="K367" s="110"/>
      <c r="L367" s="110"/>
      <c r="M367" s="110"/>
      <c r="N367" s="110"/>
      <c r="O367" s="110"/>
      <c r="P367" s="197"/>
      <c r="Q367" s="197"/>
      <c r="R367" s="197"/>
      <c r="S367" s="197"/>
      <c r="T367" s="197">
        <f t="shared" si="43"/>
        <v>0</v>
      </c>
      <c r="U367" s="110"/>
      <c r="V367" s="110"/>
      <c r="W367" s="110"/>
      <c r="X367" s="110"/>
      <c r="Y367" s="110"/>
      <c r="Z367" s="110"/>
      <c r="AA367" s="110"/>
      <c r="AB367" s="110"/>
      <c r="AC367" s="110"/>
      <c r="AD367" s="110"/>
      <c r="AE367" s="110">
        <f t="shared" si="41"/>
        <v>0</v>
      </c>
      <c r="AF367" s="198"/>
      <c r="AG367" s="198"/>
      <c r="AH367" s="199"/>
      <c r="AI367" s="199"/>
      <c r="AJ367" s="196"/>
      <c r="AK367" s="196"/>
      <c r="AL367" s="196"/>
      <c r="AM367" s="200">
        <v>44351</v>
      </c>
      <c r="AN367" s="200">
        <v>47118</v>
      </c>
      <c r="AO367" s="107"/>
      <c r="AP367" s="107"/>
      <c r="AQ367" s="107"/>
      <c r="AR367" s="107"/>
      <c r="AS367" s="107"/>
      <c r="AT367" s="107"/>
      <c r="AU367" s="218"/>
      <c r="AV367" s="218" t="s">
        <v>70</v>
      </c>
      <c r="AW367" s="204" t="s">
        <v>70</v>
      </c>
      <c r="AX367" s="107"/>
      <c r="AY367" s="107"/>
      <c r="AZ367" s="107"/>
      <c r="BA367" s="107"/>
      <c r="BB367" s="107"/>
      <c r="BC367" s="107"/>
      <c r="BD367" s="107"/>
      <c r="BE367" s="107"/>
      <c r="BF367" s="107"/>
      <c r="BG367" s="321"/>
      <c r="BH367" s="285" t="s">
        <v>1564</v>
      </c>
    </row>
    <row r="368" spans="1:60" s="61" customFormat="1" ht="20.100000000000001" customHeight="1">
      <c r="A368" s="195">
        <v>363</v>
      </c>
      <c r="B368" s="196" t="s">
        <v>853</v>
      </c>
      <c r="C368" s="65" t="s">
        <v>72</v>
      </c>
      <c r="D368" s="65" t="s">
        <v>112</v>
      </c>
      <c r="E368" s="65" t="s">
        <v>906</v>
      </c>
      <c r="F368" s="65" t="s">
        <v>907</v>
      </c>
      <c r="G368" s="110">
        <v>50582</v>
      </c>
      <c r="H368" s="196" t="s">
        <v>908</v>
      </c>
      <c r="I368" s="110">
        <v>139</v>
      </c>
      <c r="J368" s="110">
        <f t="shared" si="42"/>
        <v>0</v>
      </c>
      <c r="K368" s="110"/>
      <c r="L368" s="110"/>
      <c r="M368" s="110"/>
      <c r="N368" s="110"/>
      <c r="O368" s="110"/>
      <c r="P368" s="197"/>
      <c r="Q368" s="197"/>
      <c r="R368" s="197"/>
      <c r="S368" s="197"/>
      <c r="T368" s="197">
        <f t="shared" si="43"/>
        <v>0</v>
      </c>
      <c r="U368" s="110"/>
      <c r="V368" s="110"/>
      <c r="W368" s="110"/>
      <c r="X368" s="110"/>
      <c r="Y368" s="110"/>
      <c r="Z368" s="110"/>
      <c r="AA368" s="110"/>
      <c r="AB368" s="110"/>
      <c r="AC368" s="110"/>
      <c r="AD368" s="110"/>
      <c r="AE368" s="110">
        <f t="shared" si="41"/>
        <v>0</v>
      </c>
      <c r="AF368" s="198"/>
      <c r="AG368" s="198"/>
      <c r="AH368" s="199"/>
      <c r="AI368" s="199"/>
      <c r="AJ368" s="196"/>
      <c r="AK368" s="196"/>
      <c r="AL368" s="196"/>
      <c r="AM368" s="200">
        <v>44351</v>
      </c>
      <c r="AN368" s="200">
        <v>46752</v>
      </c>
      <c r="AO368" s="107"/>
      <c r="AP368" s="107"/>
      <c r="AQ368" s="107"/>
      <c r="AR368" s="107"/>
      <c r="AS368" s="107"/>
      <c r="AT368" s="107"/>
      <c r="AU368" s="218"/>
      <c r="AV368" s="218" t="s">
        <v>70</v>
      </c>
      <c r="AW368" s="204" t="s">
        <v>70</v>
      </c>
      <c r="AX368" s="107"/>
      <c r="AY368" s="107"/>
      <c r="AZ368" s="107"/>
      <c r="BA368" s="107"/>
      <c r="BB368" s="107"/>
      <c r="BC368" s="107"/>
      <c r="BD368" s="107"/>
      <c r="BE368" s="107"/>
      <c r="BF368" s="107"/>
      <c r="BG368" s="321"/>
      <c r="BH368" s="285" t="s">
        <v>1564</v>
      </c>
    </row>
    <row r="369" spans="1:60" s="61" customFormat="1" ht="20.100000000000001" customHeight="1">
      <c r="A369" s="195">
        <v>364</v>
      </c>
      <c r="B369" s="196" t="s">
        <v>853</v>
      </c>
      <c r="C369" s="65" t="s">
        <v>88</v>
      </c>
      <c r="D369" s="65" t="s">
        <v>73</v>
      </c>
      <c r="E369" s="65" t="s">
        <v>874</v>
      </c>
      <c r="F369" s="65" t="s">
        <v>875</v>
      </c>
      <c r="G369" s="110">
        <v>22270</v>
      </c>
      <c r="H369" s="196">
        <v>1988</v>
      </c>
      <c r="I369" s="110">
        <v>10</v>
      </c>
      <c r="J369" s="110">
        <f>SUM(K369:O369)</f>
        <v>380</v>
      </c>
      <c r="K369" s="110">
        <v>7</v>
      </c>
      <c r="L369" s="110">
        <v>373</v>
      </c>
      <c r="M369" s="110"/>
      <c r="N369" s="110"/>
      <c r="O369" s="110"/>
      <c r="P369" s="197"/>
      <c r="Q369" s="197"/>
      <c r="R369" s="197"/>
      <c r="S369" s="197"/>
      <c r="T369" s="197">
        <f>U369+AA369</f>
        <v>0</v>
      </c>
      <c r="U369" s="110"/>
      <c r="V369" s="110"/>
      <c r="W369" s="110"/>
      <c r="X369" s="110"/>
      <c r="Y369" s="110"/>
      <c r="Z369" s="110"/>
      <c r="AA369" s="110"/>
      <c r="AB369" s="110"/>
      <c r="AC369" s="110"/>
      <c r="AD369" s="110"/>
      <c r="AE369" s="110">
        <f>T369-J369</f>
        <v>-380</v>
      </c>
      <c r="AF369" s="198"/>
      <c r="AG369" s="198" t="s">
        <v>859</v>
      </c>
      <c r="AH369" s="199">
        <v>371</v>
      </c>
      <c r="AI369" s="199"/>
      <c r="AJ369" s="196"/>
      <c r="AK369" s="196"/>
      <c r="AL369" s="196"/>
      <c r="AM369" s="200">
        <v>44351</v>
      </c>
      <c r="AN369" s="200">
        <v>46752</v>
      </c>
      <c r="AO369" s="107"/>
      <c r="AP369" s="107"/>
      <c r="AQ369" s="107"/>
      <c r="AR369" s="107">
        <v>46076</v>
      </c>
      <c r="AS369" s="107"/>
      <c r="AT369" s="107"/>
      <c r="AU369" s="218"/>
      <c r="AV369" s="218" t="s">
        <v>70</v>
      </c>
      <c r="AW369" s="204" t="s">
        <v>70</v>
      </c>
      <c r="AX369" s="107"/>
      <c r="AY369" s="107"/>
      <c r="AZ369" s="107"/>
      <c r="BA369" s="107"/>
      <c r="BB369" s="107"/>
      <c r="BC369" s="107"/>
      <c r="BD369" s="107"/>
      <c r="BE369" s="107"/>
      <c r="BF369" s="107"/>
      <c r="BG369" s="321"/>
      <c r="BH369" s="285" t="s">
        <v>1562</v>
      </c>
    </row>
    <row r="370" spans="1:60" s="61" customFormat="1" ht="20.100000000000001" customHeight="1">
      <c r="A370" s="195">
        <v>365</v>
      </c>
      <c r="B370" s="196" t="s">
        <v>853</v>
      </c>
      <c r="C370" s="65" t="s">
        <v>64</v>
      </c>
      <c r="D370" s="65" t="s">
        <v>85</v>
      </c>
      <c r="E370" s="65" t="s">
        <v>909</v>
      </c>
      <c r="F370" s="65" t="s">
        <v>910</v>
      </c>
      <c r="G370" s="110">
        <v>33814</v>
      </c>
      <c r="H370" s="196" t="s">
        <v>911</v>
      </c>
      <c r="I370" s="110">
        <v>50</v>
      </c>
      <c r="J370" s="110">
        <v>50</v>
      </c>
      <c r="K370" s="110">
        <v>0</v>
      </c>
      <c r="L370" s="110">
        <v>14</v>
      </c>
      <c r="M370" s="110">
        <v>15</v>
      </c>
      <c r="N370" s="110">
        <v>21</v>
      </c>
      <c r="O370" s="110"/>
      <c r="P370" s="197">
        <v>1757</v>
      </c>
      <c r="Q370" s="197">
        <v>270</v>
      </c>
      <c r="R370" s="197">
        <v>1437</v>
      </c>
      <c r="S370" s="197">
        <v>50</v>
      </c>
      <c r="T370" s="197">
        <f t="shared" si="43"/>
        <v>1757</v>
      </c>
      <c r="U370" s="110">
        <v>1707</v>
      </c>
      <c r="V370" s="110"/>
      <c r="W370" s="110"/>
      <c r="X370" s="110">
        <v>1391</v>
      </c>
      <c r="Y370" s="110">
        <v>316</v>
      </c>
      <c r="Z370" s="110"/>
      <c r="AA370" s="110">
        <v>50</v>
      </c>
      <c r="AB370" s="110">
        <v>50</v>
      </c>
      <c r="AC370" s="110"/>
      <c r="AD370" s="110"/>
      <c r="AE370" s="110">
        <f t="shared" si="41"/>
        <v>1707</v>
      </c>
      <c r="AF370" s="198">
        <v>9</v>
      </c>
      <c r="AG370" s="198">
        <v>13</v>
      </c>
      <c r="AH370" s="199">
        <v>339</v>
      </c>
      <c r="AI370" s="199">
        <v>333</v>
      </c>
      <c r="AJ370" s="196" t="s">
        <v>92</v>
      </c>
      <c r="AK370" s="196">
        <v>2023</v>
      </c>
      <c r="AL370" s="196">
        <v>2030</v>
      </c>
      <c r="AM370" s="200">
        <v>44351</v>
      </c>
      <c r="AN370" s="200">
        <v>45291</v>
      </c>
      <c r="AO370" s="200">
        <v>45135</v>
      </c>
      <c r="AP370" s="107">
        <v>45135</v>
      </c>
      <c r="AQ370" s="107"/>
      <c r="AR370" s="107">
        <v>45422</v>
      </c>
      <c r="AS370" s="107"/>
      <c r="AT370" s="107"/>
      <c r="AU370" s="218"/>
      <c r="AV370" s="218" t="s">
        <v>70</v>
      </c>
      <c r="AW370" s="204" t="s">
        <v>70</v>
      </c>
      <c r="AX370" s="107"/>
      <c r="AY370" s="107">
        <v>45741</v>
      </c>
      <c r="AZ370" s="107"/>
      <c r="BA370" s="107"/>
      <c r="BB370" s="107"/>
      <c r="BC370" s="107"/>
      <c r="BD370" s="107"/>
      <c r="BE370" s="107"/>
      <c r="BF370" s="107"/>
      <c r="BG370" s="321"/>
      <c r="BH370" s="285" t="s">
        <v>1561</v>
      </c>
    </row>
    <row r="371" spans="1:60" s="61" customFormat="1" ht="20.100000000000001" customHeight="1">
      <c r="A371" s="195">
        <v>366</v>
      </c>
      <c r="B371" s="196" t="s">
        <v>853</v>
      </c>
      <c r="C371" s="65" t="s">
        <v>66</v>
      </c>
      <c r="D371" s="65" t="s">
        <v>73</v>
      </c>
      <c r="E371" s="65" t="s">
        <v>912</v>
      </c>
      <c r="F371" s="65" t="s">
        <v>913</v>
      </c>
      <c r="G371" s="110">
        <v>15622</v>
      </c>
      <c r="H371" s="196">
        <v>1985</v>
      </c>
      <c r="I371" s="110">
        <v>10</v>
      </c>
      <c r="J371" s="110">
        <f>SUM(K371:O371)</f>
        <v>156</v>
      </c>
      <c r="K371" s="110"/>
      <c r="L371" s="110">
        <v>156</v>
      </c>
      <c r="M371" s="110"/>
      <c r="N371" s="110"/>
      <c r="O371" s="110"/>
      <c r="P371" s="197">
        <f>SUM(Q371:S371)</f>
        <v>259</v>
      </c>
      <c r="Q371" s="197">
        <v>116</v>
      </c>
      <c r="R371" s="197">
        <v>143</v>
      </c>
      <c r="S371" s="197"/>
      <c r="T371" s="197">
        <f t="shared" si="43"/>
        <v>259</v>
      </c>
      <c r="U371" s="110">
        <f>SUM(V371:Z371)</f>
        <v>259</v>
      </c>
      <c r="V371" s="110"/>
      <c r="W371" s="110"/>
      <c r="X371" s="110">
        <v>259</v>
      </c>
      <c r="Y371" s="110"/>
      <c r="Z371" s="110"/>
      <c r="AA371" s="110"/>
      <c r="AB371" s="110"/>
      <c r="AC371" s="110"/>
      <c r="AD371" s="110"/>
      <c r="AE371" s="110">
        <f t="shared" si="41"/>
        <v>103</v>
      </c>
      <c r="AF371" s="198">
        <v>0.56999999999999995</v>
      </c>
      <c r="AG371" s="198">
        <v>2.2000000000000002</v>
      </c>
      <c r="AH371" s="199">
        <v>153</v>
      </c>
      <c r="AI371" s="199">
        <v>113</v>
      </c>
      <c r="AJ371" s="196" t="s">
        <v>92</v>
      </c>
      <c r="AK371" s="196">
        <v>2011</v>
      </c>
      <c r="AL371" s="196">
        <v>2030</v>
      </c>
      <c r="AM371" s="200" t="s">
        <v>914</v>
      </c>
      <c r="AN371" s="200"/>
      <c r="AO371" s="200"/>
      <c r="AP371" s="107">
        <v>40472</v>
      </c>
      <c r="AQ371" s="107"/>
      <c r="AR371" s="107"/>
      <c r="AS371" s="107">
        <v>37761</v>
      </c>
      <c r="AT371" s="107"/>
      <c r="AU371" s="218">
        <v>37784</v>
      </c>
      <c r="AV371" s="218" t="s">
        <v>82</v>
      </c>
      <c r="AW371" s="204" t="s">
        <v>70</v>
      </c>
      <c r="AX371" s="107"/>
      <c r="AY371" s="107">
        <v>37798</v>
      </c>
      <c r="AZ371" s="107">
        <v>40809</v>
      </c>
      <c r="BA371" s="107">
        <v>43801</v>
      </c>
      <c r="BB371" s="107"/>
      <c r="BC371" s="107"/>
      <c r="BD371" s="107"/>
      <c r="BE371" s="107"/>
      <c r="BF371" s="107"/>
      <c r="BG371" s="321"/>
      <c r="BH371" s="285" t="s">
        <v>1565</v>
      </c>
    </row>
    <row r="372" spans="1:60" s="61" customFormat="1" ht="20.100000000000001" customHeight="1">
      <c r="A372" s="195">
        <v>367</v>
      </c>
      <c r="B372" s="196" t="s">
        <v>853</v>
      </c>
      <c r="C372" s="65" t="s">
        <v>66</v>
      </c>
      <c r="D372" s="65" t="s">
        <v>85</v>
      </c>
      <c r="E372" s="65" t="s">
        <v>915</v>
      </c>
      <c r="F372" s="65" t="s">
        <v>916</v>
      </c>
      <c r="G372" s="217">
        <v>68593</v>
      </c>
      <c r="H372" s="65" t="s">
        <v>917</v>
      </c>
      <c r="I372" s="208">
        <v>146</v>
      </c>
      <c r="J372" s="110">
        <v>453</v>
      </c>
      <c r="K372" s="208">
        <v>453</v>
      </c>
      <c r="L372" s="208"/>
      <c r="M372" s="208"/>
      <c r="N372" s="208"/>
      <c r="O372" s="208"/>
      <c r="P372" s="197">
        <v>1573</v>
      </c>
      <c r="Q372" s="197">
        <v>249</v>
      </c>
      <c r="R372" s="197">
        <v>14</v>
      </c>
      <c r="S372" s="197">
        <v>1310</v>
      </c>
      <c r="T372" s="197">
        <f t="shared" si="43"/>
        <v>1573</v>
      </c>
      <c r="U372" s="110">
        <v>263</v>
      </c>
      <c r="V372" s="208"/>
      <c r="W372" s="208">
        <v>132</v>
      </c>
      <c r="X372" s="208">
        <v>131</v>
      </c>
      <c r="Y372" s="208"/>
      <c r="Z372" s="208"/>
      <c r="AA372" s="110">
        <v>1310</v>
      </c>
      <c r="AB372" s="208">
        <v>80</v>
      </c>
      <c r="AC372" s="208">
        <v>1051</v>
      </c>
      <c r="AD372" s="208">
        <v>179</v>
      </c>
      <c r="AE372" s="110">
        <f t="shared" si="41"/>
        <v>1120</v>
      </c>
      <c r="AF372" s="198">
        <v>2.5</v>
      </c>
      <c r="AG372" s="198">
        <v>2.97</v>
      </c>
      <c r="AH372" s="213">
        <v>434</v>
      </c>
      <c r="AI372" s="213">
        <v>249</v>
      </c>
      <c r="AJ372" s="65" t="s">
        <v>92</v>
      </c>
      <c r="AK372" s="65">
        <v>2008</v>
      </c>
      <c r="AL372" s="65">
        <v>2028</v>
      </c>
      <c r="AM372" s="200" t="s">
        <v>914</v>
      </c>
      <c r="AN372" s="200"/>
      <c r="AO372" s="200"/>
      <c r="AP372" s="107">
        <v>39581</v>
      </c>
      <c r="AQ372" s="107"/>
      <c r="AR372" s="107">
        <v>39617</v>
      </c>
      <c r="AS372" s="200"/>
      <c r="AT372" s="200"/>
      <c r="AU372" s="218"/>
      <c r="AV372" s="218" t="s">
        <v>82</v>
      </c>
      <c r="AW372" s="204" t="s">
        <v>70</v>
      </c>
      <c r="AX372" s="200"/>
      <c r="AY372" s="200">
        <v>39742</v>
      </c>
      <c r="AZ372" s="200">
        <v>40378</v>
      </c>
      <c r="BA372" s="228">
        <v>42257</v>
      </c>
      <c r="BB372" s="200"/>
      <c r="BC372" s="200"/>
      <c r="BD372" s="200"/>
      <c r="BE372" s="200"/>
      <c r="BF372" s="107"/>
      <c r="BG372" s="329"/>
      <c r="BH372" s="285" t="s">
        <v>1561</v>
      </c>
    </row>
    <row r="373" spans="1:60" s="61" customFormat="1" ht="20.100000000000001" customHeight="1">
      <c r="A373" s="195">
        <v>368</v>
      </c>
      <c r="B373" s="196" t="s">
        <v>853</v>
      </c>
      <c r="C373" s="65" t="s">
        <v>67</v>
      </c>
      <c r="D373" s="65" t="s">
        <v>73</v>
      </c>
      <c r="E373" s="65" t="s">
        <v>918</v>
      </c>
      <c r="F373" s="65" t="s">
        <v>919</v>
      </c>
      <c r="G373" s="110">
        <v>75646</v>
      </c>
      <c r="H373" s="196" t="s">
        <v>477</v>
      </c>
      <c r="I373" s="110">
        <v>33</v>
      </c>
      <c r="J373" s="110">
        <f>SUM(K373:O373)</f>
        <v>1374</v>
      </c>
      <c r="K373" s="110">
        <v>784</v>
      </c>
      <c r="L373" s="110">
        <v>590</v>
      </c>
      <c r="M373" s="110"/>
      <c r="N373" s="110"/>
      <c r="O373" s="110"/>
      <c r="P373" s="197">
        <f>SUM(Q373:S373)</f>
        <v>1918</v>
      </c>
      <c r="Q373" s="197">
        <v>1241</v>
      </c>
      <c r="R373" s="197">
        <v>677</v>
      </c>
      <c r="S373" s="197"/>
      <c r="T373" s="197">
        <f t="shared" si="43"/>
        <v>1918</v>
      </c>
      <c r="U373" s="110">
        <v>1918</v>
      </c>
      <c r="V373" s="110"/>
      <c r="W373" s="110">
        <v>665</v>
      </c>
      <c r="X373" s="110">
        <v>1177</v>
      </c>
      <c r="Y373" s="110">
        <v>68</v>
      </c>
      <c r="Z373" s="110">
        <v>8</v>
      </c>
      <c r="AA373" s="110"/>
      <c r="AB373" s="110"/>
      <c r="AC373" s="110"/>
      <c r="AD373" s="110"/>
      <c r="AE373" s="110">
        <f t="shared" si="41"/>
        <v>544</v>
      </c>
      <c r="AF373" s="198">
        <v>1.04</v>
      </c>
      <c r="AG373" s="198">
        <v>2.99</v>
      </c>
      <c r="AH373" s="199">
        <v>1325</v>
      </c>
      <c r="AI373" s="199">
        <v>1282</v>
      </c>
      <c r="AJ373" s="196" t="s">
        <v>92</v>
      </c>
      <c r="AK373" s="196">
        <v>2015</v>
      </c>
      <c r="AL373" s="196">
        <v>2027</v>
      </c>
      <c r="AM373" s="200" t="s">
        <v>914</v>
      </c>
      <c r="AN373" s="200" t="s">
        <v>914</v>
      </c>
      <c r="AO373" s="107">
        <v>42968</v>
      </c>
      <c r="AP373" s="107">
        <v>42968</v>
      </c>
      <c r="AQ373" s="107">
        <v>44168</v>
      </c>
      <c r="AR373" s="107">
        <v>43032</v>
      </c>
      <c r="AS373" s="107"/>
      <c r="AT373" s="107"/>
      <c r="AU373" s="218">
        <v>42599</v>
      </c>
      <c r="AV373" s="218" t="s">
        <v>82</v>
      </c>
      <c r="AW373" s="204" t="s">
        <v>70</v>
      </c>
      <c r="AX373" s="107"/>
      <c r="AY373" s="107">
        <v>43180</v>
      </c>
      <c r="AZ373" s="108">
        <v>44376</v>
      </c>
      <c r="BA373" s="107">
        <v>44687</v>
      </c>
      <c r="BB373" s="107">
        <v>45467</v>
      </c>
      <c r="BC373" s="107"/>
      <c r="BD373" s="107"/>
      <c r="BE373" s="107"/>
      <c r="BF373" s="107"/>
      <c r="BG373" s="321"/>
      <c r="BH373" s="285" t="s">
        <v>1563</v>
      </c>
    </row>
    <row r="374" spans="1:60" s="61" customFormat="1" ht="20.100000000000001" customHeight="1">
      <c r="A374" s="195">
        <v>369</v>
      </c>
      <c r="B374" s="196" t="s">
        <v>853</v>
      </c>
      <c r="C374" s="65" t="s">
        <v>68</v>
      </c>
      <c r="D374" s="65" t="s">
        <v>73</v>
      </c>
      <c r="E374" s="65" t="s">
        <v>920</v>
      </c>
      <c r="F374" s="65" t="s">
        <v>921</v>
      </c>
      <c r="G374" s="110">
        <v>56888</v>
      </c>
      <c r="H374" s="196">
        <v>1986</v>
      </c>
      <c r="I374" s="110">
        <v>25</v>
      </c>
      <c r="J374" s="110">
        <f>SUM(K374:O374)</f>
        <v>420</v>
      </c>
      <c r="K374" s="110"/>
      <c r="L374" s="110">
        <v>420</v>
      </c>
      <c r="M374" s="110"/>
      <c r="N374" s="110"/>
      <c r="O374" s="110"/>
      <c r="P374" s="197">
        <f>SUM(Q374:S374)</f>
        <v>1105</v>
      </c>
      <c r="Q374" s="197">
        <v>407</v>
      </c>
      <c r="R374" s="197">
        <v>698</v>
      </c>
      <c r="S374" s="197"/>
      <c r="T374" s="197">
        <f t="shared" si="43"/>
        <v>1107</v>
      </c>
      <c r="U374" s="110">
        <f>SUM(V374:Z374)</f>
        <v>1107</v>
      </c>
      <c r="V374" s="110"/>
      <c r="W374" s="110">
        <v>254</v>
      </c>
      <c r="X374" s="110">
        <v>853</v>
      </c>
      <c r="Y374" s="110"/>
      <c r="Z374" s="110"/>
      <c r="AA374" s="110"/>
      <c r="AB374" s="110"/>
      <c r="AC374" s="110"/>
      <c r="AD374" s="110"/>
      <c r="AE374" s="110">
        <f t="shared" si="41"/>
        <v>687</v>
      </c>
      <c r="AF374" s="198">
        <v>0.5</v>
      </c>
      <c r="AG374" s="198">
        <v>2.2772000000000001</v>
      </c>
      <c r="AH374" s="199">
        <v>399</v>
      </c>
      <c r="AI374" s="199">
        <v>399</v>
      </c>
      <c r="AJ374" s="196" t="s">
        <v>92</v>
      </c>
      <c r="AK374" s="196">
        <v>2012</v>
      </c>
      <c r="AL374" s="196">
        <v>2024</v>
      </c>
      <c r="AM374" s="200" t="s">
        <v>914</v>
      </c>
      <c r="AN374" s="200" t="s">
        <v>914</v>
      </c>
      <c r="AO374" s="200">
        <v>40743</v>
      </c>
      <c r="AP374" s="107">
        <v>41013</v>
      </c>
      <c r="AQ374" s="107">
        <v>42038</v>
      </c>
      <c r="AR374" s="107">
        <v>41099</v>
      </c>
      <c r="AS374" s="107">
        <v>40135</v>
      </c>
      <c r="AT374" s="107"/>
      <c r="AU374" s="218">
        <v>40437</v>
      </c>
      <c r="AV374" s="218" t="s">
        <v>82</v>
      </c>
      <c r="AW374" s="204" t="s">
        <v>70</v>
      </c>
      <c r="AX374" s="107"/>
      <c r="AY374" s="107">
        <v>41396</v>
      </c>
      <c r="AZ374" s="107">
        <v>43284</v>
      </c>
      <c r="BA374" s="107">
        <v>43868</v>
      </c>
      <c r="BB374" s="108">
        <v>44456</v>
      </c>
      <c r="BC374" s="108">
        <v>44546</v>
      </c>
      <c r="BD374" s="108">
        <v>45537</v>
      </c>
      <c r="BE374" s="107">
        <v>45623</v>
      </c>
      <c r="BF374" s="107"/>
      <c r="BG374" s="321"/>
      <c r="BH374" s="285" t="s">
        <v>1562</v>
      </c>
    </row>
    <row r="375" spans="1:60" s="61" customFormat="1" ht="20.100000000000001" customHeight="1">
      <c r="A375" s="195">
        <v>370</v>
      </c>
      <c r="B375" s="196" t="s">
        <v>853</v>
      </c>
      <c r="C375" s="65" t="s">
        <v>68</v>
      </c>
      <c r="D375" s="65" t="s">
        <v>112</v>
      </c>
      <c r="E375" s="65" t="s">
        <v>922</v>
      </c>
      <c r="F375" s="65" t="s">
        <v>923</v>
      </c>
      <c r="G375" s="110">
        <v>63029</v>
      </c>
      <c r="H375" s="196"/>
      <c r="I375" s="110">
        <v>79</v>
      </c>
      <c r="J375" s="110"/>
      <c r="K375" s="110"/>
      <c r="L375" s="208"/>
      <c r="M375" s="110"/>
      <c r="N375" s="110"/>
      <c r="O375" s="110"/>
      <c r="P375" s="197"/>
      <c r="Q375" s="197"/>
      <c r="R375" s="197"/>
      <c r="S375" s="197"/>
      <c r="T375" s="197">
        <f t="shared" si="43"/>
        <v>0</v>
      </c>
      <c r="U375" s="110"/>
      <c r="V375" s="110" t="s">
        <v>116</v>
      </c>
      <c r="W375" s="208"/>
      <c r="X375" s="208"/>
      <c r="Y375" s="208"/>
      <c r="Z375" s="208"/>
      <c r="AA375" s="110"/>
      <c r="AB375" s="208"/>
      <c r="AC375" s="208"/>
      <c r="AD375" s="208"/>
      <c r="AE375" s="110">
        <f t="shared" si="41"/>
        <v>0</v>
      </c>
      <c r="AF375" s="198"/>
      <c r="AG375" s="198">
        <v>1</v>
      </c>
      <c r="AH375" s="199"/>
      <c r="AI375" s="213"/>
      <c r="AJ375" s="65" t="s">
        <v>117</v>
      </c>
      <c r="AK375" s="196">
        <v>2014</v>
      </c>
      <c r="AL375" s="196">
        <v>2020</v>
      </c>
      <c r="AM375" s="200"/>
      <c r="AN375" s="200"/>
      <c r="AO375" s="200"/>
      <c r="AP375" s="107">
        <v>42254</v>
      </c>
      <c r="AQ375" s="107"/>
      <c r="AR375" s="107"/>
      <c r="AS375" s="200"/>
      <c r="AT375" s="200"/>
      <c r="AU375" s="218"/>
      <c r="AV375" s="218" t="s">
        <v>70</v>
      </c>
      <c r="AW375" s="204" t="s">
        <v>70</v>
      </c>
      <c r="AX375" s="200"/>
      <c r="AY375" s="196"/>
      <c r="AZ375" s="107">
        <v>42429</v>
      </c>
      <c r="BA375" s="200"/>
      <c r="BB375" s="107">
        <v>42915</v>
      </c>
      <c r="BC375" s="200"/>
      <c r="BD375" s="108">
        <v>44196</v>
      </c>
      <c r="BE375" s="200"/>
      <c r="BF375" s="107"/>
      <c r="BG375" s="329"/>
      <c r="BH375" s="285" t="s">
        <v>1564</v>
      </c>
    </row>
    <row r="376" spans="1:60" s="61" customFormat="1" ht="20.100000000000001" customHeight="1">
      <c r="A376" s="195">
        <v>371</v>
      </c>
      <c r="B376" s="196" t="s">
        <v>853</v>
      </c>
      <c r="C376" s="65" t="s">
        <v>68</v>
      </c>
      <c r="D376" s="65" t="s">
        <v>73</v>
      </c>
      <c r="E376" s="65" t="s">
        <v>924</v>
      </c>
      <c r="F376" s="65" t="s">
        <v>925</v>
      </c>
      <c r="G376" s="110">
        <v>30157</v>
      </c>
      <c r="H376" s="196">
        <v>1985</v>
      </c>
      <c r="I376" s="110">
        <v>13</v>
      </c>
      <c r="J376" s="110">
        <f t="shared" ref="J376:J393" si="44">SUM(K376:O376)</f>
        <v>450</v>
      </c>
      <c r="K376" s="110"/>
      <c r="L376" s="110">
        <v>450</v>
      </c>
      <c r="M376" s="110"/>
      <c r="N376" s="110"/>
      <c r="O376" s="110"/>
      <c r="P376" s="197">
        <f>SUM(Q376:S376)</f>
        <v>553</v>
      </c>
      <c r="Q376" s="197">
        <v>145</v>
      </c>
      <c r="R376" s="197">
        <v>408</v>
      </c>
      <c r="S376" s="197"/>
      <c r="T376" s="197">
        <f t="shared" si="43"/>
        <v>553</v>
      </c>
      <c r="U376" s="110">
        <f>SUM(V376:Z376)</f>
        <v>553</v>
      </c>
      <c r="V376" s="110"/>
      <c r="W376" s="110">
        <v>23</v>
      </c>
      <c r="X376" s="110">
        <v>296</v>
      </c>
      <c r="Y376" s="110">
        <v>234</v>
      </c>
      <c r="Z376" s="110"/>
      <c r="AA376" s="110"/>
      <c r="AB376" s="110"/>
      <c r="AC376" s="110"/>
      <c r="AD376" s="110"/>
      <c r="AE376" s="110">
        <f t="shared" si="41"/>
        <v>103</v>
      </c>
      <c r="AF376" s="198">
        <v>0.8</v>
      </c>
      <c r="AG376" s="198">
        <v>2.2999999999999998</v>
      </c>
      <c r="AH376" s="199">
        <v>418</v>
      </c>
      <c r="AI376" s="199">
        <v>417</v>
      </c>
      <c r="AJ376" s="196" t="s">
        <v>92</v>
      </c>
      <c r="AK376" s="196">
        <v>2007</v>
      </c>
      <c r="AL376" s="196">
        <v>2009</v>
      </c>
      <c r="AM376" s="200" t="s">
        <v>914</v>
      </c>
      <c r="AN376" s="200"/>
      <c r="AO376" s="200"/>
      <c r="AP376" s="107">
        <v>38677</v>
      </c>
      <c r="AQ376" s="107">
        <v>38733</v>
      </c>
      <c r="AR376" s="107"/>
      <c r="AS376" s="107">
        <v>37686</v>
      </c>
      <c r="AT376" s="107"/>
      <c r="AU376" s="218">
        <v>37741</v>
      </c>
      <c r="AV376" s="218" t="s">
        <v>70</v>
      </c>
      <c r="AW376" s="204" t="s">
        <v>70</v>
      </c>
      <c r="AX376" s="107"/>
      <c r="AY376" s="107">
        <v>37772</v>
      </c>
      <c r="AZ376" s="107">
        <v>38740</v>
      </c>
      <c r="BA376" s="107">
        <v>39017</v>
      </c>
      <c r="BB376" s="107">
        <v>39160</v>
      </c>
      <c r="BC376" s="107"/>
      <c r="BD376" s="107">
        <v>40570</v>
      </c>
      <c r="BE376" s="107">
        <v>40777</v>
      </c>
      <c r="BF376" s="107"/>
      <c r="BG376" s="321"/>
      <c r="BH376" s="285" t="s">
        <v>1563</v>
      </c>
    </row>
    <row r="377" spans="1:60" s="61" customFormat="1" ht="20.100000000000001" customHeight="1">
      <c r="A377" s="195">
        <v>372</v>
      </c>
      <c r="B377" s="196" t="s">
        <v>853</v>
      </c>
      <c r="C377" s="65" t="s">
        <v>68</v>
      </c>
      <c r="D377" s="65" t="s">
        <v>73</v>
      </c>
      <c r="E377" s="65" t="s">
        <v>926</v>
      </c>
      <c r="F377" s="65" t="s">
        <v>927</v>
      </c>
      <c r="G377" s="110">
        <v>42325</v>
      </c>
      <c r="H377" s="196">
        <v>1987</v>
      </c>
      <c r="I377" s="110">
        <v>22</v>
      </c>
      <c r="J377" s="110">
        <f t="shared" si="44"/>
        <v>810</v>
      </c>
      <c r="K377" s="110"/>
      <c r="L377" s="110">
        <v>810</v>
      </c>
      <c r="M377" s="110"/>
      <c r="N377" s="110"/>
      <c r="O377" s="110"/>
      <c r="P377" s="197">
        <f>SUM(Q377:S377)</f>
        <v>903</v>
      </c>
      <c r="Q377" s="197">
        <v>725</v>
      </c>
      <c r="R377" s="197">
        <v>178</v>
      </c>
      <c r="S377" s="197"/>
      <c r="T377" s="197">
        <f t="shared" si="43"/>
        <v>903</v>
      </c>
      <c r="U377" s="110">
        <f>SUM(V377:Z377)</f>
        <v>903</v>
      </c>
      <c r="V377" s="110"/>
      <c r="W377" s="110">
        <v>208</v>
      </c>
      <c r="X377" s="110">
        <v>466</v>
      </c>
      <c r="Y377" s="110">
        <v>229</v>
      </c>
      <c r="Z377" s="110"/>
      <c r="AA377" s="110"/>
      <c r="AB377" s="110"/>
      <c r="AC377" s="110"/>
      <c r="AD377" s="110"/>
      <c r="AE377" s="110">
        <f t="shared" si="41"/>
        <v>93</v>
      </c>
      <c r="AF377" s="198">
        <v>1.04</v>
      </c>
      <c r="AG377" s="198">
        <v>2.15</v>
      </c>
      <c r="AH377" s="199">
        <v>799</v>
      </c>
      <c r="AI377" s="199">
        <v>799</v>
      </c>
      <c r="AJ377" s="196" t="s">
        <v>92</v>
      </c>
      <c r="AK377" s="196">
        <v>2007</v>
      </c>
      <c r="AL377" s="196">
        <v>2009</v>
      </c>
      <c r="AM377" s="200" t="s">
        <v>914</v>
      </c>
      <c r="AN377" s="200"/>
      <c r="AO377" s="200"/>
      <c r="AP377" s="107">
        <v>38677</v>
      </c>
      <c r="AQ377" s="107">
        <v>38796</v>
      </c>
      <c r="AR377" s="107">
        <v>37826</v>
      </c>
      <c r="AS377" s="107">
        <v>37739</v>
      </c>
      <c r="AT377" s="107"/>
      <c r="AU377" s="218">
        <v>37774</v>
      </c>
      <c r="AV377" s="218" t="s">
        <v>70</v>
      </c>
      <c r="AW377" s="204" t="s">
        <v>70</v>
      </c>
      <c r="AX377" s="107"/>
      <c r="AY377" s="107">
        <v>37979</v>
      </c>
      <c r="AZ377" s="107">
        <v>38799</v>
      </c>
      <c r="BA377" s="107">
        <v>38988</v>
      </c>
      <c r="BB377" s="107">
        <v>39220</v>
      </c>
      <c r="BC377" s="107">
        <v>39227</v>
      </c>
      <c r="BD377" s="107">
        <v>40133</v>
      </c>
      <c r="BE377" s="107">
        <v>40199</v>
      </c>
      <c r="BF377" s="107"/>
      <c r="BG377" s="321"/>
      <c r="BH377" s="285" t="s">
        <v>1563</v>
      </c>
    </row>
    <row r="378" spans="1:60" s="61" customFormat="1" ht="20.100000000000001" customHeight="1">
      <c r="A378" s="195">
        <v>373</v>
      </c>
      <c r="B378" s="196" t="s">
        <v>853</v>
      </c>
      <c r="C378" s="65" t="s">
        <v>68</v>
      </c>
      <c r="D378" s="65" t="s">
        <v>73</v>
      </c>
      <c r="E378" s="65" t="s">
        <v>928</v>
      </c>
      <c r="F378" s="65" t="s">
        <v>929</v>
      </c>
      <c r="G378" s="110">
        <v>43221</v>
      </c>
      <c r="H378" s="196">
        <v>1985</v>
      </c>
      <c r="I378" s="110">
        <v>21</v>
      </c>
      <c r="J378" s="110">
        <f t="shared" si="44"/>
        <v>582</v>
      </c>
      <c r="K378" s="110"/>
      <c r="L378" s="110">
        <v>582</v>
      </c>
      <c r="M378" s="110"/>
      <c r="N378" s="110"/>
      <c r="O378" s="110"/>
      <c r="P378" s="197">
        <f>SUM(Q378:S378)</f>
        <v>828</v>
      </c>
      <c r="Q378" s="197">
        <v>570</v>
      </c>
      <c r="R378" s="197">
        <v>258</v>
      </c>
      <c r="S378" s="197"/>
      <c r="T378" s="197">
        <f t="shared" si="43"/>
        <v>828</v>
      </c>
      <c r="U378" s="110">
        <f>SUM(V378:Z378)</f>
        <v>828</v>
      </c>
      <c r="V378" s="110"/>
      <c r="W378" s="110">
        <v>72</v>
      </c>
      <c r="X378" s="110">
        <v>373</v>
      </c>
      <c r="Y378" s="110">
        <v>301</v>
      </c>
      <c r="Z378" s="110">
        <v>82</v>
      </c>
      <c r="AA378" s="110"/>
      <c r="AB378" s="110"/>
      <c r="AC378" s="110"/>
      <c r="AD378" s="110"/>
      <c r="AE378" s="110">
        <f t="shared" si="41"/>
        <v>246</v>
      </c>
      <c r="AF378" s="198">
        <v>0.8</v>
      </c>
      <c r="AG378" s="198">
        <v>2.2999999999999998</v>
      </c>
      <c r="AH378" s="199">
        <v>595</v>
      </c>
      <c r="AI378" s="199">
        <v>594</v>
      </c>
      <c r="AJ378" s="196" t="s">
        <v>92</v>
      </c>
      <c r="AK378" s="196">
        <v>2007</v>
      </c>
      <c r="AL378" s="196">
        <v>2009</v>
      </c>
      <c r="AM378" s="200" t="s">
        <v>914</v>
      </c>
      <c r="AN378" s="200"/>
      <c r="AO378" s="200"/>
      <c r="AP378" s="107">
        <v>38733</v>
      </c>
      <c r="AQ378" s="107"/>
      <c r="AR378" s="107"/>
      <c r="AS378" s="107">
        <v>37761</v>
      </c>
      <c r="AT378" s="107"/>
      <c r="AU378" s="218">
        <v>37784</v>
      </c>
      <c r="AV378" s="218" t="s">
        <v>70</v>
      </c>
      <c r="AW378" s="204" t="s">
        <v>70</v>
      </c>
      <c r="AX378" s="107"/>
      <c r="AY378" s="107">
        <v>37795</v>
      </c>
      <c r="AZ378" s="107">
        <v>38797</v>
      </c>
      <c r="BA378" s="107">
        <v>39017</v>
      </c>
      <c r="BB378" s="107">
        <v>39300</v>
      </c>
      <c r="BC378" s="107">
        <v>39317</v>
      </c>
      <c r="BD378" s="107">
        <v>40207</v>
      </c>
      <c r="BE378" s="107">
        <v>40318</v>
      </c>
      <c r="BF378" s="107"/>
      <c r="BG378" s="321"/>
      <c r="BH378" s="285" t="s">
        <v>1562</v>
      </c>
    </row>
    <row r="379" spans="1:60" s="61" customFormat="1" ht="20.100000000000001" customHeight="1">
      <c r="A379" s="195">
        <v>374</v>
      </c>
      <c r="B379" s="196" t="s">
        <v>853</v>
      </c>
      <c r="C379" s="65" t="s">
        <v>68</v>
      </c>
      <c r="D379" s="65" t="s">
        <v>73</v>
      </c>
      <c r="E379" s="65" t="s">
        <v>930</v>
      </c>
      <c r="F379" s="65" t="s">
        <v>931</v>
      </c>
      <c r="G379" s="110">
        <v>40540</v>
      </c>
      <c r="H379" s="196">
        <v>1985</v>
      </c>
      <c r="I379" s="110">
        <v>15</v>
      </c>
      <c r="J379" s="110">
        <f t="shared" si="44"/>
        <v>450</v>
      </c>
      <c r="K379" s="110"/>
      <c r="L379" s="110">
        <v>450</v>
      </c>
      <c r="M379" s="110"/>
      <c r="N379" s="110"/>
      <c r="O379" s="110"/>
      <c r="P379" s="197">
        <f>SUM(Q379:S379)</f>
        <v>718</v>
      </c>
      <c r="Q379" s="197">
        <v>444</v>
      </c>
      <c r="R379" s="197">
        <v>274</v>
      </c>
      <c r="S379" s="197"/>
      <c r="T379" s="197">
        <f t="shared" si="43"/>
        <v>718</v>
      </c>
      <c r="U379" s="110">
        <f>SUM(V379:Z379)</f>
        <v>718</v>
      </c>
      <c r="V379" s="110"/>
      <c r="W379" s="110">
        <v>56</v>
      </c>
      <c r="X379" s="110">
        <v>340</v>
      </c>
      <c r="Y379" s="110">
        <v>268</v>
      </c>
      <c r="Z379" s="110">
        <v>54</v>
      </c>
      <c r="AA379" s="110"/>
      <c r="AB379" s="110"/>
      <c r="AC379" s="110"/>
      <c r="AD379" s="110"/>
      <c r="AE379" s="110">
        <f t="shared" si="41"/>
        <v>268</v>
      </c>
      <c r="AF379" s="198">
        <v>0.8</v>
      </c>
      <c r="AG379" s="198">
        <v>2.2000000000000002</v>
      </c>
      <c r="AH379" s="199">
        <v>460</v>
      </c>
      <c r="AI379" s="199">
        <v>460</v>
      </c>
      <c r="AJ379" s="196" t="s">
        <v>92</v>
      </c>
      <c r="AK379" s="196">
        <v>2007</v>
      </c>
      <c r="AL379" s="196">
        <v>2009</v>
      </c>
      <c r="AM379" s="200" t="s">
        <v>914</v>
      </c>
      <c r="AN379" s="200"/>
      <c r="AO379" s="200"/>
      <c r="AP379" s="107">
        <v>38733</v>
      </c>
      <c r="AQ379" s="107"/>
      <c r="AR379" s="107"/>
      <c r="AS379" s="107">
        <v>37686</v>
      </c>
      <c r="AT379" s="107"/>
      <c r="AU379" s="218">
        <v>37741</v>
      </c>
      <c r="AV379" s="218" t="s">
        <v>70</v>
      </c>
      <c r="AW379" s="204" t="s">
        <v>70</v>
      </c>
      <c r="AX379" s="107"/>
      <c r="AY379" s="107">
        <v>37761</v>
      </c>
      <c r="AZ379" s="107">
        <v>38831</v>
      </c>
      <c r="BA379" s="107">
        <v>39017</v>
      </c>
      <c r="BB379" s="107">
        <v>39196</v>
      </c>
      <c r="BC379" s="107">
        <v>39210</v>
      </c>
      <c r="BD379" s="107">
        <v>39993</v>
      </c>
      <c r="BE379" s="107">
        <v>40003</v>
      </c>
      <c r="BF379" s="107"/>
      <c r="BG379" s="321"/>
      <c r="BH379" s="285" t="s">
        <v>1562</v>
      </c>
    </row>
    <row r="380" spans="1:60" s="61" customFormat="1" ht="20.100000000000001" customHeight="1">
      <c r="A380" s="195">
        <v>375</v>
      </c>
      <c r="B380" s="196" t="s">
        <v>853</v>
      </c>
      <c r="C380" s="65" t="s">
        <v>68</v>
      </c>
      <c r="D380" s="65" t="s">
        <v>112</v>
      </c>
      <c r="E380" s="65" t="s">
        <v>932</v>
      </c>
      <c r="F380" s="65" t="s">
        <v>933</v>
      </c>
      <c r="G380" s="110">
        <v>30613</v>
      </c>
      <c r="H380" s="196" t="s">
        <v>934</v>
      </c>
      <c r="I380" s="110">
        <v>106</v>
      </c>
      <c r="J380" s="110">
        <f t="shared" si="44"/>
        <v>148</v>
      </c>
      <c r="K380" s="110">
        <v>148</v>
      </c>
      <c r="L380" s="208" t="s">
        <v>115</v>
      </c>
      <c r="M380" s="110"/>
      <c r="N380" s="110"/>
      <c r="O380" s="110"/>
      <c r="P380" s="197"/>
      <c r="Q380" s="197"/>
      <c r="R380" s="197"/>
      <c r="S380" s="197"/>
      <c r="T380" s="197">
        <f t="shared" si="43"/>
        <v>0</v>
      </c>
      <c r="U380" s="110"/>
      <c r="V380" s="110" t="s">
        <v>116</v>
      </c>
      <c r="W380" s="208"/>
      <c r="X380" s="208"/>
      <c r="Y380" s="208"/>
      <c r="Z380" s="208"/>
      <c r="AA380" s="110"/>
      <c r="AB380" s="208"/>
      <c r="AC380" s="208"/>
      <c r="AD380" s="208"/>
      <c r="AE380" s="110">
        <f t="shared" si="41"/>
        <v>-148</v>
      </c>
      <c r="AF380" s="198">
        <v>1.8</v>
      </c>
      <c r="AG380" s="198"/>
      <c r="AH380" s="199">
        <v>113</v>
      </c>
      <c r="AI380" s="213"/>
      <c r="AJ380" s="65" t="s">
        <v>117</v>
      </c>
      <c r="AK380" s="196">
        <v>2006</v>
      </c>
      <c r="AL380" s="196">
        <v>2014</v>
      </c>
      <c r="AM380" s="200" t="s">
        <v>914</v>
      </c>
      <c r="AN380" s="200"/>
      <c r="AO380" s="200"/>
      <c r="AP380" s="107">
        <v>38705</v>
      </c>
      <c r="AQ380" s="107"/>
      <c r="AR380" s="107"/>
      <c r="AS380" s="200"/>
      <c r="AT380" s="200"/>
      <c r="AU380" s="218"/>
      <c r="AV380" s="218" t="s">
        <v>70</v>
      </c>
      <c r="AW380" s="204" t="s">
        <v>70</v>
      </c>
      <c r="AX380" s="200"/>
      <c r="AY380" s="196"/>
      <c r="AZ380" s="107">
        <v>39624</v>
      </c>
      <c r="BA380" s="216"/>
      <c r="BB380" s="107">
        <v>40594</v>
      </c>
      <c r="BC380" s="216"/>
      <c r="BD380" s="107">
        <v>41991</v>
      </c>
      <c r="BE380" s="216"/>
      <c r="BF380" s="107"/>
      <c r="BG380" s="330"/>
      <c r="BH380" s="285" t="s">
        <v>1564</v>
      </c>
    </row>
    <row r="381" spans="1:60" s="61" customFormat="1" ht="20.100000000000001" customHeight="1">
      <c r="A381" s="195">
        <v>376</v>
      </c>
      <c r="B381" s="196" t="s">
        <v>853</v>
      </c>
      <c r="C381" s="65" t="s">
        <v>68</v>
      </c>
      <c r="D381" s="65" t="s">
        <v>112</v>
      </c>
      <c r="E381" s="65" t="s">
        <v>935</v>
      </c>
      <c r="F381" s="65" t="s">
        <v>936</v>
      </c>
      <c r="G381" s="110">
        <v>17261</v>
      </c>
      <c r="H381" s="196" t="s">
        <v>934</v>
      </c>
      <c r="I381" s="110">
        <v>68</v>
      </c>
      <c r="J381" s="110">
        <f t="shared" si="44"/>
        <v>85</v>
      </c>
      <c r="K381" s="110">
        <v>85</v>
      </c>
      <c r="L381" s="208" t="s">
        <v>115</v>
      </c>
      <c r="M381" s="110"/>
      <c r="N381" s="110"/>
      <c r="O381" s="110"/>
      <c r="P381" s="197"/>
      <c r="Q381" s="197"/>
      <c r="R381" s="197"/>
      <c r="S381" s="197"/>
      <c r="T381" s="197">
        <f t="shared" si="43"/>
        <v>0</v>
      </c>
      <c r="U381" s="110"/>
      <c r="V381" s="110" t="s">
        <v>116</v>
      </c>
      <c r="W381" s="208"/>
      <c r="X381" s="208"/>
      <c r="Y381" s="208"/>
      <c r="Z381" s="208"/>
      <c r="AA381" s="110"/>
      <c r="AB381" s="208"/>
      <c r="AC381" s="208"/>
      <c r="AD381" s="208"/>
      <c r="AE381" s="110">
        <f t="shared" si="41"/>
        <v>-85</v>
      </c>
      <c r="AF381" s="198">
        <v>1.8</v>
      </c>
      <c r="AG381" s="198"/>
      <c r="AH381" s="199">
        <v>78</v>
      </c>
      <c r="AI381" s="213"/>
      <c r="AJ381" s="65" t="s">
        <v>117</v>
      </c>
      <c r="AK381" s="196">
        <v>2006</v>
      </c>
      <c r="AL381" s="196">
        <v>2016</v>
      </c>
      <c r="AM381" s="200" t="s">
        <v>914</v>
      </c>
      <c r="AN381" s="200"/>
      <c r="AO381" s="200"/>
      <c r="AP381" s="107">
        <v>38705</v>
      </c>
      <c r="AQ381" s="107">
        <v>42345</v>
      </c>
      <c r="AR381" s="107"/>
      <c r="AS381" s="200"/>
      <c r="AT381" s="200"/>
      <c r="AU381" s="218"/>
      <c r="AV381" s="218" t="s">
        <v>70</v>
      </c>
      <c r="AW381" s="204" t="s">
        <v>70</v>
      </c>
      <c r="AX381" s="200"/>
      <c r="AY381" s="196"/>
      <c r="AZ381" s="107">
        <v>39624</v>
      </c>
      <c r="BA381" s="200"/>
      <c r="BB381" s="107">
        <v>40399</v>
      </c>
      <c r="BC381" s="200"/>
      <c r="BD381" s="107">
        <v>42538</v>
      </c>
      <c r="BE381" s="200"/>
      <c r="BF381" s="107"/>
      <c r="BG381" s="329"/>
      <c r="BH381" s="285" t="s">
        <v>1564</v>
      </c>
    </row>
    <row r="382" spans="1:60" s="61" customFormat="1" ht="19.5" customHeight="1">
      <c r="A382" s="195">
        <v>377</v>
      </c>
      <c r="B382" s="196" t="s">
        <v>937</v>
      </c>
      <c r="C382" s="65" t="s">
        <v>88</v>
      </c>
      <c r="D382" s="65" t="s">
        <v>73</v>
      </c>
      <c r="E382" s="65" t="s">
        <v>938</v>
      </c>
      <c r="F382" s="65" t="s">
        <v>939</v>
      </c>
      <c r="G382" s="110">
        <v>19932</v>
      </c>
      <c r="H382" s="196" t="s">
        <v>940</v>
      </c>
      <c r="I382" s="110">
        <v>9</v>
      </c>
      <c r="J382" s="110">
        <f t="shared" si="44"/>
        <v>335</v>
      </c>
      <c r="K382" s="110">
        <v>335</v>
      </c>
      <c r="L382" s="110"/>
      <c r="M382" s="110"/>
      <c r="N382" s="110"/>
      <c r="O382" s="110"/>
      <c r="P382" s="197">
        <f t="shared" ref="P382:P389" si="45">SUM(Q382:S382)</f>
        <v>0</v>
      </c>
      <c r="Q382" s="197"/>
      <c r="R382" s="197"/>
      <c r="S382" s="197"/>
      <c r="T382" s="197">
        <f t="shared" si="43"/>
        <v>0</v>
      </c>
      <c r="U382" s="110">
        <f t="shared" ref="U382:U390" si="46">SUM(V382:Z382)</f>
        <v>0</v>
      </c>
      <c r="V382" s="110"/>
      <c r="W382" s="110"/>
      <c r="X382" s="110"/>
      <c r="Y382" s="110"/>
      <c r="Z382" s="110"/>
      <c r="AA382" s="110"/>
      <c r="AB382" s="110"/>
      <c r="AC382" s="110"/>
      <c r="AD382" s="110"/>
      <c r="AE382" s="110">
        <f t="shared" si="41"/>
        <v>-335</v>
      </c>
      <c r="AF382" s="198">
        <v>2.8</v>
      </c>
      <c r="AG382" s="198">
        <v>3</v>
      </c>
      <c r="AH382" s="199">
        <v>335</v>
      </c>
      <c r="AI382" s="199"/>
      <c r="AJ382" s="196"/>
      <c r="AK382" s="196"/>
      <c r="AL382" s="196"/>
      <c r="AM382" s="200">
        <v>44181</v>
      </c>
      <c r="AN382" s="200">
        <v>46022</v>
      </c>
      <c r="AO382" s="107">
        <v>46093</v>
      </c>
      <c r="AP382" s="107">
        <v>46093</v>
      </c>
      <c r="AQ382" s="107"/>
      <c r="AR382" s="107">
        <v>45960</v>
      </c>
      <c r="AS382" s="107"/>
      <c r="AT382" s="107"/>
      <c r="AU382" s="218">
        <v>44523</v>
      </c>
      <c r="AV382" s="218" t="s">
        <v>82</v>
      </c>
      <c r="AW382" s="204" t="s">
        <v>298</v>
      </c>
      <c r="AX382" s="203" t="s">
        <v>82</v>
      </c>
      <c r="AY382" s="107"/>
      <c r="AZ382" s="107"/>
      <c r="BA382" s="107"/>
      <c r="BB382" s="107"/>
      <c r="BC382" s="107"/>
      <c r="BD382" s="107"/>
      <c r="BE382" s="107"/>
      <c r="BF382" s="107"/>
      <c r="BG382" s="321"/>
      <c r="BH382" s="285" t="s">
        <v>1566</v>
      </c>
    </row>
    <row r="383" spans="1:60" s="61" customFormat="1" ht="20.100000000000001" customHeight="1">
      <c r="A383" s="195">
        <v>378</v>
      </c>
      <c r="B383" s="196" t="s">
        <v>937</v>
      </c>
      <c r="C383" s="65" t="s">
        <v>72</v>
      </c>
      <c r="D383" s="65" t="s">
        <v>85</v>
      </c>
      <c r="E383" s="65" t="s">
        <v>941</v>
      </c>
      <c r="F383" s="65" t="s">
        <v>942</v>
      </c>
      <c r="G383" s="110">
        <v>21056</v>
      </c>
      <c r="H383" s="196" t="s">
        <v>940</v>
      </c>
      <c r="I383" s="110">
        <v>32</v>
      </c>
      <c r="J383" s="110">
        <f t="shared" si="44"/>
        <v>474</v>
      </c>
      <c r="K383" s="110">
        <v>474</v>
      </c>
      <c r="L383" s="110"/>
      <c r="M383" s="110"/>
      <c r="N383" s="110"/>
      <c r="O383" s="110"/>
      <c r="P383" s="197">
        <f t="shared" si="45"/>
        <v>0</v>
      </c>
      <c r="Q383" s="197"/>
      <c r="R383" s="197"/>
      <c r="S383" s="197"/>
      <c r="T383" s="197">
        <f t="shared" si="43"/>
        <v>0</v>
      </c>
      <c r="U383" s="110">
        <f t="shared" si="46"/>
        <v>0</v>
      </c>
      <c r="V383" s="110"/>
      <c r="W383" s="110"/>
      <c r="X383" s="110"/>
      <c r="Y383" s="110"/>
      <c r="Z383" s="110"/>
      <c r="AA383" s="110"/>
      <c r="AB383" s="110"/>
      <c r="AC383" s="110"/>
      <c r="AD383" s="110"/>
      <c r="AE383" s="110">
        <f t="shared" si="41"/>
        <v>-474</v>
      </c>
      <c r="AF383" s="198">
        <v>2.8</v>
      </c>
      <c r="AG383" s="198">
        <v>3</v>
      </c>
      <c r="AH383" s="199">
        <v>1232</v>
      </c>
      <c r="AI383" s="199"/>
      <c r="AJ383" s="196"/>
      <c r="AK383" s="196"/>
      <c r="AL383" s="196"/>
      <c r="AM383" s="200">
        <v>44181</v>
      </c>
      <c r="AN383" s="200">
        <v>47483</v>
      </c>
      <c r="AO383" s="107"/>
      <c r="AP383" s="107"/>
      <c r="AQ383" s="107"/>
      <c r="AR383" s="107"/>
      <c r="AS383" s="107"/>
      <c r="AT383" s="107"/>
      <c r="AU383" s="218"/>
      <c r="AV383" s="218" t="s">
        <v>70</v>
      </c>
      <c r="AW383" s="204" t="s">
        <v>70</v>
      </c>
      <c r="AX383" s="107"/>
      <c r="AY383" s="107"/>
      <c r="AZ383" s="107"/>
      <c r="BA383" s="107"/>
      <c r="BB383" s="107"/>
      <c r="BC383" s="107"/>
      <c r="BD383" s="107"/>
      <c r="BE383" s="107"/>
      <c r="BF383" s="107"/>
      <c r="BG383" s="321"/>
      <c r="BH383" s="285" t="s">
        <v>1567</v>
      </c>
    </row>
    <row r="384" spans="1:60" s="61" customFormat="1" ht="20.100000000000001" customHeight="1">
      <c r="A384" s="195">
        <v>379</v>
      </c>
      <c r="B384" s="196" t="s">
        <v>937</v>
      </c>
      <c r="C384" s="65" t="s">
        <v>72</v>
      </c>
      <c r="D384" s="65" t="s">
        <v>85</v>
      </c>
      <c r="E384" s="65" t="s">
        <v>943</v>
      </c>
      <c r="F384" s="65" t="s">
        <v>944</v>
      </c>
      <c r="G384" s="110">
        <v>44333</v>
      </c>
      <c r="H384" s="196" t="s">
        <v>940</v>
      </c>
      <c r="I384" s="110">
        <v>64</v>
      </c>
      <c r="J384" s="110">
        <f t="shared" si="44"/>
        <v>783</v>
      </c>
      <c r="K384" s="110">
        <v>783</v>
      </c>
      <c r="L384" s="110"/>
      <c r="M384" s="110"/>
      <c r="N384" s="110"/>
      <c r="O384" s="110"/>
      <c r="P384" s="197">
        <f t="shared" si="45"/>
        <v>0</v>
      </c>
      <c r="Q384" s="197"/>
      <c r="R384" s="197"/>
      <c r="S384" s="197"/>
      <c r="T384" s="197">
        <f t="shared" si="43"/>
        <v>0</v>
      </c>
      <c r="U384" s="110">
        <f t="shared" si="46"/>
        <v>0</v>
      </c>
      <c r="V384" s="110"/>
      <c r="W384" s="110"/>
      <c r="X384" s="110"/>
      <c r="Y384" s="110"/>
      <c r="Z384" s="110"/>
      <c r="AA384" s="110"/>
      <c r="AB384" s="110"/>
      <c r="AC384" s="110"/>
      <c r="AD384" s="110"/>
      <c r="AE384" s="110">
        <f t="shared" si="41"/>
        <v>-783</v>
      </c>
      <c r="AF384" s="198">
        <v>2.2999999999999998</v>
      </c>
      <c r="AG384" s="198">
        <v>2.5</v>
      </c>
      <c r="AH384" s="199">
        <v>2036</v>
      </c>
      <c r="AI384" s="199"/>
      <c r="AJ384" s="196"/>
      <c r="AK384" s="196"/>
      <c r="AL384" s="196"/>
      <c r="AM384" s="200">
        <v>44181</v>
      </c>
      <c r="AN384" s="200">
        <v>47483</v>
      </c>
      <c r="AO384" s="107"/>
      <c r="AP384" s="107"/>
      <c r="AQ384" s="107"/>
      <c r="AR384" s="107"/>
      <c r="AS384" s="107"/>
      <c r="AT384" s="107"/>
      <c r="AU384" s="218"/>
      <c r="AV384" s="218" t="s">
        <v>70</v>
      </c>
      <c r="AW384" s="204" t="s">
        <v>70</v>
      </c>
      <c r="AX384" s="107"/>
      <c r="AY384" s="107"/>
      <c r="AZ384" s="107"/>
      <c r="BA384" s="107"/>
      <c r="BB384" s="107"/>
      <c r="BC384" s="107"/>
      <c r="BD384" s="107"/>
      <c r="BE384" s="107"/>
      <c r="BF384" s="107"/>
      <c r="BG384" s="321"/>
      <c r="BH384" s="285" t="s">
        <v>1567</v>
      </c>
    </row>
    <row r="385" spans="1:60" s="61" customFormat="1" ht="20.100000000000001" customHeight="1">
      <c r="A385" s="195">
        <v>380</v>
      </c>
      <c r="B385" s="196" t="s">
        <v>937</v>
      </c>
      <c r="C385" s="65" t="s">
        <v>62</v>
      </c>
      <c r="D385" s="65" t="s">
        <v>85</v>
      </c>
      <c r="E385" s="65" t="s">
        <v>945</v>
      </c>
      <c r="F385" s="65" t="s">
        <v>946</v>
      </c>
      <c r="G385" s="110">
        <v>82134</v>
      </c>
      <c r="H385" s="196" t="s">
        <v>940</v>
      </c>
      <c r="I385" s="110">
        <v>95</v>
      </c>
      <c r="J385" s="110">
        <f t="shared" si="44"/>
        <v>1275</v>
      </c>
      <c r="K385" s="110">
        <v>1275</v>
      </c>
      <c r="L385" s="110"/>
      <c r="M385" s="110"/>
      <c r="N385" s="110"/>
      <c r="O385" s="110"/>
      <c r="P385" s="197">
        <f t="shared" si="45"/>
        <v>0</v>
      </c>
      <c r="Q385" s="197"/>
      <c r="R385" s="197"/>
      <c r="S385" s="197"/>
      <c r="T385" s="197">
        <f t="shared" si="43"/>
        <v>0</v>
      </c>
      <c r="U385" s="110">
        <f t="shared" si="46"/>
        <v>0</v>
      </c>
      <c r="V385" s="110"/>
      <c r="W385" s="110"/>
      <c r="X385" s="110"/>
      <c r="Y385" s="110"/>
      <c r="Z385" s="110"/>
      <c r="AA385" s="110"/>
      <c r="AB385" s="110"/>
      <c r="AC385" s="110"/>
      <c r="AD385" s="110"/>
      <c r="AE385" s="110">
        <f t="shared" si="41"/>
        <v>-1275</v>
      </c>
      <c r="AF385" s="198">
        <v>2.8</v>
      </c>
      <c r="AG385" s="198">
        <v>3</v>
      </c>
      <c r="AH385" s="199">
        <v>3307</v>
      </c>
      <c r="AI385" s="199"/>
      <c r="AJ385" s="196"/>
      <c r="AK385" s="196"/>
      <c r="AL385" s="196"/>
      <c r="AM385" s="200">
        <v>44181</v>
      </c>
      <c r="AN385" s="200">
        <v>45808</v>
      </c>
      <c r="AO385" s="200">
        <v>45792</v>
      </c>
      <c r="AP385" s="200">
        <v>45792</v>
      </c>
      <c r="AQ385" s="107"/>
      <c r="AR385" s="107"/>
      <c r="AS385" s="107"/>
      <c r="AT385" s="107"/>
      <c r="AU385" s="218"/>
      <c r="AV385" s="218" t="s">
        <v>70</v>
      </c>
      <c r="AW385" s="204" t="s">
        <v>70</v>
      </c>
      <c r="AX385" s="107"/>
      <c r="AY385" s="107"/>
      <c r="AZ385" s="107"/>
      <c r="BA385" s="107"/>
      <c r="BB385" s="107"/>
      <c r="BC385" s="107"/>
      <c r="BD385" s="107"/>
      <c r="BE385" s="107"/>
      <c r="BF385" s="107"/>
      <c r="BG385" s="321"/>
      <c r="BH385" s="285" t="s">
        <v>1567</v>
      </c>
    </row>
    <row r="386" spans="1:60" s="61" customFormat="1" ht="20.100000000000001" customHeight="1">
      <c r="A386" s="195">
        <v>381</v>
      </c>
      <c r="B386" s="196" t="s">
        <v>937</v>
      </c>
      <c r="C386" s="65" t="s">
        <v>88</v>
      </c>
      <c r="D386" s="65" t="s">
        <v>85</v>
      </c>
      <c r="E386" s="65" t="s">
        <v>947</v>
      </c>
      <c r="F386" s="65" t="s">
        <v>948</v>
      </c>
      <c r="G386" s="110">
        <v>63370</v>
      </c>
      <c r="H386" s="196" t="s">
        <v>940</v>
      </c>
      <c r="I386" s="110">
        <v>57</v>
      </c>
      <c r="J386" s="110">
        <f t="shared" si="44"/>
        <v>1534</v>
      </c>
      <c r="K386" s="110">
        <v>1534</v>
      </c>
      <c r="L386" s="110"/>
      <c r="M386" s="110"/>
      <c r="N386" s="110"/>
      <c r="O386" s="110"/>
      <c r="P386" s="197">
        <f t="shared" si="45"/>
        <v>0</v>
      </c>
      <c r="Q386" s="197"/>
      <c r="R386" s="197"/>
      <c r="S386" s="197"/>
      <c r="T386" s="197">
        <f t="shared" si="43"/>
        <v>0</v>
      </c>
      <c r="U386" s="110">
        <f t="shared" si="46"/>
        <v>0</v>
      </c>
      <c r="V386" s="110"/>
      <c r="W386" s="110"/>
      <c r="X386" s="110"/>
      <c r="Y386" s="110"/>
      <c r="Z386" s="110"/>
      <c r="AA386" s="110"/>
      <c r="AB386" s="110"/>
      <c r="AC386" s="110"/>
      <c r="AD386" s="110"/>
      <c r="AE386" s="110">
        <f t="shared" si="41"/>
        <v>-1534</v>
      </c>
      <c r="AF386" s="198">
        <v>2.8</v>
      </c>
      <c r="AG386" s="198">
        <v>3</v>
      </c>
      <c r="AH386" s="199">
        <v>3988</v>
      </c>
      <c r="AI386" s="199"/>
      <c r="AJ386" s="196"/>
      <c r="AK386" s="196"/>
      <c r="AL386" s="196"/>
      <c r="AM386" s="200">
        <v>44181</v>
      </c>
      <c r="AN386" s="200">
        <v>45370</v>
      </c>
      <c r="AO386" s="107">
        <v>46100</v>
      </c>
      <c r="AP386" s="107">
        <v>46100</v>
      </c>
      <c r="AQ386" s="107"/>
      <c r="AR386" s="107">
        <v>46065</v>
      </c>
      <c r="AS386" s="107"/>
      <c r="AT386" s="107"/>
      <c r="AU386" s="218"/>
      <c r="AV386" s="218" t="s">
        <v>70</v>
      </c>
      <c r="AW386" s="204" t="s">
        <v>70</v>
      </c>
      <c r="AX386" s="107"/>
      <c r="AY386" s="107"/>
      <c r="AZ386" s="107"/>
      <c r="BA386" s="107"/>
      <c r="BB386" s="107"/>
      <c r="BC386" s="107"/>
      <c r="BD386" s="107"/>
      <c r="BE386" s="107"/>
      <c r="BF386" s="107"/>
      <c r="BG386" s="321"/>
      <c r="BH386" s="285" t="s">
        <v>1567</v>
      </c>
    </row>
    <row r="387" spans="1:60" s="61" customFormat="1" ht="20.100000000000001" customHeight="1">
      <c r="A387" s="195">
        <v>382</v>
      </c>
      <c r="B387" s="196" t="s">
        <v>937</v>
      </c>
      <c r="C387" s="65" t="s">
        <v>62</v>
      </c>
      <c r="D387" s="65" t="s">
        <v>85</v>
      </c>
      <c r="E387" s="65" t="s">
        <v>949</v>
      </c>
      <c r="F387" s="65" t="s">
        <v>950</v>
      </c>
      <c r="G387" s="110">
        <v>14553</v>
      </c>
      <c r="H387" s="196" t="s">
        <v>940</v>
      </c>
      <c r="I387" s="110">
        <v>23</v>
      </c>
      <c r="J387" s="110">
        <f t="shared" si="44"/>
        <v>370</v>
      </c>
      <c r="K387" s="110">
        <v>301</v>
      </c>
      <c r="L387" s="110">
        <v>65</v>
      </c>
      <c r="M387" s="110"/>
      <c r="N387" s="110">
        <v>1</v>
      </c>
      <c r="O387" s="110">
        <v>3</v>
      </c>
      <c r="P387" s="197">
        <f t="shared" si="45"/>
        <v>0</v>
      </c>
      <c r="Q387" s="197"/>
      <c r="R387" s="197"/>
      <c r="S387" s="197"/>
      <c r="T387" s="197">
        <f t="shared" si="43"/>
        <v>0</v>
      </c>
      <c r="U387" s="110">
        <f t="shared" si="46"/>
        <v>0</v>
      </c>
      <c r="V387" s="110"/>
      <c r="W387" s="110"/>
      <c r="X387" s="110"/>
      <c r="Y387" s="110"/>
      <c r="Z387" s="110"/>
      <c r="AA387" s="110"/>
      <c r="AB387" s="110"/>
      <c r="AC387" s="110"/>
      <c r="AD387" s="110"/>
      <c r="AE387" s="110">
        <f t="shared" si="41"/>
        <v>-370</v>
      </c>
      <c r="AF387" s="198">
        <v>2.2999999999999998</v>
      </c>
      <c r="AG387" s="198">
        <v>2.5</v>
      </c>
      <c r="AH387" s="199">
        <v>382</v>
      </c>
      <c r="AI387" s="199"/>
      <c r="AJ387" s="196"/>
      <c r="AK387" s="196"/>
      <c r="AL387" s="196"/>
      <c r="AM387" s="200">
        <v>44181</v>
      </c>
      <c r="AN387" s="202">
        <v>45473</v>
      </c>
      <c r="AO387" s="108" t="s">
        <v>951</v>
      </c>
      <c r="AP387" s="108" t="s">
        <v>951</v>
      </c>
      <c r="AQ387" s="107"/>
      <c r="AR387" s="107"/>
      <c r="AS387" s="107"/>
      <c r="AT387" s="107"/>
      <c r="AU387" s="218"/>
      <c r="AV387" s="218" t="s">
        <v>70</v>
      </c>
      <c r="AW387" s="204" t="s">
        <v>70</v>
      </c>
      <c r="AX387" s="107"/>
      <c r="AY387" s="107"/>
      <c r="AZ387" s="107"/>
      <c r="BA387" s="107"/>
      <c r="BB387" s="107"/>
      <c r="BC387" s="107"/>
      <c r="BD387" s="107"/>
      <c r="BE387" s="107"/>
      <c r="BF387" s="107"/>
      <c r="BG387" s="321"/>
      <c r="BH387" s="285" t="s">
        <v>1567</v>
      </c>
    </row>
    <row r="388" spans="1:60" s="61" customFormat="1" ht="20.100000000000001" customHeight="1">
      <c r="A388" s="195">
        <v>383</v>
      </c>
      <c r="B388" s="196" t="s">
        <v>937</v>
      </c>
      <c r="C388" s="65" t="s">
        <v>65</v>
      </c>
      <c r="D388" s="65" t="s">
        <v>85</v>
      </c>
      <c r="E388" s="65" t="s">
        <v>952</v>
      </c>
      <c r="F388" s="65" t="s">
        <v>953</v>
      </c>
      <c r="G388" s="110">
        <v>23563</v>
      </c>
      <c r="H388" s="196" t="s">
        <v>940</v>
      </c>
      <c r="I388" s="110">
        <v>69</v>
      </c>
      <c r="J388" s="110">
        <f t="shared" si="44"/>
        <v>401</v>
      </c>
      <c r="K388" s="110">
        <v>401</v>
      </c>
      <c r="L388" s="110"/>
      <c r="M388" s="110"/>
      <c r="N388" s="110"/>
      <c r="O388" s="110"/>
      <c r="P388" s="197">
        <f t="shared" si="45"/>
        <v>0</v>
      </c>
      <c r="Q388" s="197"/>
      <c r="R388" s="197"/>
      <c r="S388" s="197"/>
      <c r="T388" s="197">
        <f t="shared" si="43"/>
        <v>540</v>
      </c>
      <c r="U388" s="110">
        <f t="shared" si="46"/>
        <v>513</v>
      </c>
      <c r="V388" s="110"/>
      <c r="W388" s="110">
        <v>245</v>
      </c>
      <c r="X388" s="110">
        <f>109+159</f>
        <v>268</v>
      </c>
      <c r="Y388" s="110"/>
      <c r="Z388" s="110"/>
      <c r="AA388" s="110">
        <f>SUM(AB388:AD388)</f>
        <v>27</v>
      </c>
      <c r="AB388" s="110">
        <v>27</v>
      </c>
      <c r="AC388" s="110"/>
      <c r="AD388" s="110"/>
      <c r="AE388" s="110">
        <f t="shared" si="41"/>
        <v>139</v>
      </c>
      <c r="AF388" s="198">
        <v>2.2999999999999998</v>
      </c>
      <c r="AG388" s="198">
        <v>2.5</v>
      </c>
      <c r="AH388" s="199">
        <v>396</v>
      </c>
      <c r="AI388" s="199">
        <v>396</v>
      </c>
      <c r="AJ388" s="196" t="s">
        <v>92</v>
      </c>
      <c r="AK388" s="196"/>
      <c r="AL388" s="196"/>
      <c r="AM388" s="200">
        <v>44181</v>
      </c>
      <c r="AN388" s="200">
        <v>44926</v>
      </c>
      <c r="AO388" s="107">
        <v>44679</v>
      </c>
      <c r="AP388" s="107">
        <v>44679</v>
      </c>
      <c r="AQ388" s="107">
        <v>45848</v>
      </c>
      <c r="AR388" s="107">
        <v>44767</v>
      </c>
      <c r="AS388" s="107"/>
      <c r="AT388" s="107"/>
      <c r="AU388" s="218"/>
      <c r="AV388" s="218" t="s">
        <v>70</v>
      </c>
      <c r="AW388" s="204" t="s">
        <v>70</v>
      </c>
      <c r="AX388" s="107"/>
      <c r="AY388" s="108">
        <v>44973</v>
      </c>
      <c r="AZ388" s="107">
        <v>46022</v>
      </c>
      <c r="BA388" s="107"/>
      <c r="BB388" s="107"/>
      <c r="BC388" s="107"/>
      <c r="BD388" s="107"/>
      <c r="BE388" s="107"/>
      <c r="BF388" s="107"/>
      <c r="BG388" s="321"/>
      <c r="BH388" s="285" t="s">
        <v>1567</v>
      </c>
    </row>
    <row r="389" spans="1:60" s="61" customFormat="1" ht="20.100000000000001" customHeight="1">
      <c r="A389" s="195">
        <v>384</v>
      </c>
      <c r="B389" s="196" t="s">
        <v>937</v>
      </c>
      <c r="C389" s="65" t="s">
        <v>64</v>
      </c>
      <c r="D389" s="65" t="s">
        <v>85</v>
      </c>
      <c r="E389" s="65" t="s">
        <v>954</v>
      </c>
      <c r="F389" s="65" t="s">
        <v>955</v>
      </c>
      <c r="G389" s="110">
        <v>38522</v>
      </c>
      <c r="H389" s="196" t="s">
        <v>940</v>
      </c>
      <c r="I389" s="110">
        <v>43</v>
      </c>
      <c r="J389" s="110">
        <f t="shared" si="44"/>
        <v>800</v>
      </c>
      <c r="K389" s="110">
        <v>800</v>
      </c>
      <c r="L389" s="110"/>
      <c r="M389" s="110"/>
      <c r="N389" s="110"/>
      <c r="O389" s="110"/>
      <c r="P389" s="197">
        <f t="shared" si="45"/>
        <v>0</v>
      </c>
      <c r="Q389" s="197"/>
      <c r="R389" s="197"/>
      <c r="S389" s="197"/>
      <c r="T389" s="197">
        <f t="shared" si="43"/>
        <v>0</v>
      </c>
      <c r="U389" s="110">
        <f t="shared" si="46"/>
        <v>0</v>
      </c>
      <c r="V389" s="110"/>
      <c r="W389" s="110"/>
      <c r="X389" s="110"/>
      <c r="Y389" s="110"/>
      <c r="Z389" s="110"/>
      <c r="AA389" s="110"/>
      <c r="AB389" s="110"/>
      <c r="AC389" s="110"/>
      <c r="AD389" s="110"/>
      <c r="AE389" s="110">
        <f t="shared" si="41"/>
        <v>-800</v>
      </c>
      <c r="AF389" s="198">
        <v>2.8</v>
      </c>
      <c r="AG389" s="198">
        <v>3</v>
      </c>
      <c r="AH389" s="199">
        <v>792</v>
      </c>
      <c r="AI389" s="199">
        <v>789</v>
      </c>
      <c r="AJ389" s="196" t="s">
        <v>92</v>
      </c>
      <c r="AK389" s="196"/>
      <c r="AL389" s="196"/>
      <c r="AM389" s="200">
        <v>44181</v>
      </c>
      <c r="AN389" s="200">
        <v>44926</v>
      </c>
      <c r="AO389" s="107">
        <v>44711</v>
      </c>
      <c r="AP389" s="107">
        <v>44711</v>
      </c>
      <c r="AQ389" s="107">
        <v>45680</v>
      </c>
      <c r="AR389" s="107">
        <v>44762</v>
      </c>
      <c r="AS389" s="107"/>
      <c r="AT389" s="107"/>
      <c r="AU389" s="218"/>
      <c r="AV389" s="218" t="s">
        <v>70</v>
      </c>
      <c r="AW389" s="204" t="s">
        <v>70</v>
      </c>
      <c r="AX389" s="107"/>
      <c r="AY389" s="108">
        <v>44992</v>
      </c>
      <c r="AZ389" s="107"/>
      <c r="BA389" s="107"/>
      <c r="BB389" s="107"/>
      <c r="BC389" s="107"/>
      <c r="BD389" s="107"/>
      <c r="BE389" s="107"/>
      <c r="BF389" s="107"/>
      <c r="BG389" s="321"/>
      <c r="BH389" s="285" t="s">
        <v>1567</v>
      </c>
    </row>
    <row r="390" spans="1:60" s="61" customFormat="1" ht="20.100000000000001" customHeight="1">
      <c r="A390" s="195">
        <v>385</v>
      </c>
      <c r="B390" s="196" t="s">
        <v>937</v>
      </c>
      <c r="C390" s="65" t="s">
        <v>65</v>
      </c>
      <c r="D390" s="65" t="s">
        <v>73</v>
      </c>
      <c r="E390" s="65" t="s">
        <v>956</v>
      </c>
      <c r="F390" s="65" t="s">
        <v>957</v>
      </c>
      <c r="G390" s="110">
        <v>19680.8</v>
      </c>
      <c r="H390" s="196" t="s">
        <v>540</v>
      </c>
      <c r="I390" s="110">
        <v>10</v>
      </c>
      <c r="J390" s="110">
        <f t="shared" si="44"/>
        <v>492</v>
      </c>
      <c r="K390" s="110"/>
      <c r="L390" s="110">
        <v>410</v>
      </c>
      <c r="M390" s="110">
        <v>82</v>
      </c>
      <c r="N390" s="110"/>
      <c r="O390" s="110"/>
      <c r="P390" s="197">
        <v>613</v>
      </c>
      <c r="Q390" s="197"/>
      <c r="R390" s="197"/>
      <c r="S390" s="197"/>
      <c r="T390" s="197">
        <f t="shared" si="43"/>
        <v>613</v>
      </c>
      <c r="U390" s="110">
        <f t="shared" si="46"/>
        <v>613</v>
      </c>
      <c r="V390" s="110"/>
      <c r="W390" s="110">
        <f>175+235</f>
        <v>410</v>
      </c>
      <c r="X390" s="110">
        <f>53+150</f>
        <v>203</v>
      </c>
      <c r="Y390" s="110"/>
      <c r="Z390" s="110"/>
      <c r="AA390" s="110"/>
      <c r="AB390" s="110"/>
      <c r="AC390" s="110"/>
      <c r="AD390" s="110"/>
      <c r="AE390" s="110">
        <f t="shared" si="41"/>
        <v>121</v>
      </c>
      <c r="AF390" s="198">
        <v>1.3</v>
      </c>
      <c r="AG390" s="198">
        <v>2.94</v>
      </c>
      <c r="AH390" s="199">
        <v>511</v>
      </c>
      <c r="AI390" s="199">
        <v>504</v>
      </c>
      <c r="AJ390" s="196" t="s">
        <v>92</v>
      </c>
      <c r="AK390" s="196">
        <v>2013</v>
      </c>
      <c r="AL390" s="196"/>
      <c r="AM390" s="200">
        <v>42128</v>
      </c>
      <c r="AN390" s="200">
        <v>43009</v>
      </c>
      <c r="AO390" s="107">
        <v>43095</v>
      </c>
      <c r="AP390" s="107">
        <v>43095</v>
      </c>
      <c r="AQ390" s="108" t="s">
        <v>958</v>
      </c>
      <c r="AR390" s="107">
        <v>43867</v>
      </c>
      <c r="AS390" s="107"/>
      <c r="AT390" s="107"/>
      <c r="AU390" s="218">
        <v>41465</v>
      </c>
      <c r="AV390" s="218" t="s">
        <v>82</v>
      </c>
      <c r="AW390" s="204" t="s">
        <v>70</v>
      </c>
      <c r="AX390" s="107"/>
      <c r="AY390" s="108">
        <v>44236</v>
      </c>
      <c r="AZ390" s="107">
        <v>44925</v>
      </c>
      <c r="BA390" s="107"/>
      <c r="BB390" s="107"/>
      <c r="BC390" s="107"/>
      <c r="BD390" s="107"/>
      <c r="BE390" s="107"/>
      <c r="BF390" s="107"/>
      <c r="BG390" s="321"/>
      <c r="BH390" s="285" t="s">
        <v>1566</v>
      </c>
    </row>
    <row r="391" spans="1:60" s="61" customFormat="1" ht="20.100000000000001" customHeight="1">
      <c r="A391" s="195">
        <v>386</v>
      </c>
      <c r="B391" s="196" t="s">
        <v>937</v>
      </c>
      <c r="C391" s="65" t="s">
        <v>68</v>
      </c>
      <c r="D391" s="65" t="s">
        <v>73</v>
      </c>
      <c r="E391" s="65" t="s">
        <v>959</v>
      </c>
      <c r="F391" s="65" t="s">
        <v>960</v>
      </c>
      <c r="G391" s="110">
        <v>34884</v>
      </c>
      <c r="H391" s="196" t="s">
        <v>961</v>
      </c>
      <c r="I391" s="110">
        <v>19</v>
      </c>
      <c r="J391" s="110">
        <f t="shared" si="44"/>
        <v>1025</v>
      </c>
      <c r="K391" s="110"/>
      <c r="L391" s="110">
        <v>1025</v>
      </c>
      <c r="M391" s="110"/>
      <c r="N391" s="110"/>
      <c r="O391" s="110"/>
      <c r="P391" s="197">
        <f>SUM(Q391:S391)</f>
        <v>1026</v>
      </c>
      <c r="Q391" s="197">
        <v>997</v>
      </c>
      <c r="R391" s="197">
        <v>29</v>
      </c>
      <c r="S391" s="197"/>
      <c r="T391" s="197">
        <f t="shared" si="43"/>
        <v>1026</v>
      </c>
      <c r="U391" s="110">
        <f>SUM(V391:AD391)</f>
        <v>1026</v>
      </c>
      <c r="V391" s="110"/>
      <c r="W391" s="110">
        <v>954</v>
      </c>
      <c r="X391" s="110">
        <v>64</v>
      </c>
      <c r="Y391" s="110">
        <v>8</v>
      </c>
      <c r="Z391" s="110"/>
      <c r="AA391" s="110"/>
      <c r="AB391" s="110"/>
      <c r="AC391" s="110"/>
      <c r="AD391" s="110"/>
      <c r="AE391" s="110">
        <f t="shared" si="41"/>
        <v>1</v>
      </c>
      <c r="AF391" s="198">
        <v>1.8</v>
      </c>
      <c r="AG391" s="198">
        <v>2.99</v>
      </c>
      <c r="AH391" s="199">
        <v>1025</v>
      </c>
      <c r="AI391" s="199">
        <v>996</v>
      </c>
      <c r="AJ391" s="196" t="s">
        <v>92</v>
      </c>
      <c r="AK391" s="196">
        <v>2013</v>
      </c>
      <c r="AL391" s="196"/>
      <c r="AM391" s="200">
        <v>42128</v>
      </c>
      <c r="AN391" s="200">
        <v>42735</v>
      </c>
      <c r="AO391" s="107">
        <v>42734</v>
      </c>
      <c r="AP391" s="107">
        <v>42734</v>
      </c>
      <c r="AQ391" s="107">
        <v>43049</v>
      </c>
      <c r="AR391" s="107">
        <v>42866</v>
      </c>
      <c r="AS391" s="107"/>
      <c r="AT391" s="107"/>
      <c r="AU391" s="218">
        <v>41480</v>
      </c>
      <c r="AV391" s="218" t="s">
        <v>82</v>
      </c>
      <c r="AW391" s="204" t="s">
        <v>70</v>
      </c>
      <c r="AX391" s="107"/>
      <c r="AY391" s="107">
        <v>43193</v>
      </c>
      <c r="AZ391" s="107">
        <v>44103</v>
      </c>
      <c r="BA391" s="107">
        <v>44505</v>
      </c>
      <c r="BB391" s="107">
        <v>45148</v>
      </c>
      <c r="BC391" s="107"/>
      <c r="BD391" s="107">
        <v>46191</v>
      </c>
      <c r="BE391" s="107"/>
      <c r="BF391" s="107"/>
      <c r="BG391" s="321"/>
      <c r="BH391" s="285" t="s">
        <v>1566</v>
      </c>
    </row>
    <row r="392" spans="1:60" s="61" customFormat="1" ht="20.100000000000001" customHeight="1">
      <c r="A392" s="195">
        <v>387</v>
      </c>
      <c r="B392" s="196" t="s">
        <v>937</v>
      </c>
      <c r="C392" s="65" t="s">
        <v>68</v>
      </c>
      <c r="D392" s="65" t="s">
        <v>112</v>
      </c>
      <c r="E392" s="65" t="s">
        <v>962</v>
      </c>
      <c r="F392" s="65" t="s">
        <v>963</v>
      </c>
      <c r="G392" s="110">
        <v>14193</v>
      </c>
      <c r="H392" s="196" t="s">
        <v>964</v>
      </c>
      <c r="I392" s="110">
        <v>234</v>
      </c>
      <c r="J392" s="110">
        <f t="shared" si="44"/>
        <v>234</v>
      </c>
      <c r="K392" s="110">
        <v>234</v>
      </c>
      <c r="L392" s="110"/>
      <c r="M392" s="110"/>
      <c r="N392" s="110"/>
      <c r="O392" s="110"/>
      <c r="P392" s="197">
        <f>SUM(Q392:S392)</f>
        <v>313</v>
      </c>
      <c r="Q392" s="197">
        <v>250</v>
      </c>
      <c r="R392" s="197"/>
      <c r="S392" s="197">
        <v>63</v>
      </c>
      <c r="T392" s="197">
        <f t="shared" ref="T392:T419" si="47">U392+AA392</f>
        <v>313</v>
      </c>
      <c r="U392" s="110">
        <f>SUM(V392:Z392)</f>
        <v>250</v>
      </c>
      <c r="V392" s="110"/>
      <c r="W392" s="110">
        <v>250</v>
      </c>
      <c r="X392" s="110"/>
      <c r="Y392" s="110"/>
      <c r="Z392" s="110"/>
      <c r="AA392" s="110">
        <f>SUM(AB392:AD392)</f>
        <v>63</v>
      </c>
      <c r="AB392" s="110">
        <v>63</v>
      </c>
      <c r="AC392" s="110"/>
      <c r="AD392" s="110"/>
      <c r="AE392" s="110">
        <f t="shared" si="41"/>
        <v>79</v>
      </c>
      <c r="AF392" s="198" t="s">
        <v>965</v>
      </c>
      <c r="AG392" s="198">
        <v>2.15</v>
      </c>
      <c r="AH392" s="199">
        <v>245</v>
      </c>
      <c r="AI392" s="199"/>
      <c r="AJ392" s="196" t="s">
        <v>105</v>
      </c>
      <c r="AK392" s="196">
        <v>2005</v>
      </c>
      <c r="AL392" s="196">
        <v>2010</v>
      </c>
      <c r="AM392" s="200" t="s">
        <v>126</v>
      </c>
      <c r="AN392" s="200"/>
      <c r="AO392" s="200"/>
      <c r="AP392" s="107">
        <v>38635</v>
      </c>
      <c r="AQ392" s="107"/>
      <c r="AR392" s="107"/>
      <c r="AS392" s="107"/>
      <c r="AT392" s="107"/>
      <c r="AU392" s="218"/>
      <c r="AV392" s="218" t="s">
        <v>70</v>
      </c>
      <c r="AW392" s="204" t="s">
        <v>70</v>
      </c>
      <c r="AX392" s="107"/>
      <c r="AY392" s="107"/>
      <c r="AZ392" s="107">
        <v>38717</v>
      </c>
      <c r="BA392" s="107"/>
      <c r="BB392" s="107">
        <v>39646</v>
      </c>
      <c r="BC392" s="107">
        <v>39690</v>
      </c>
      <c r="BD392" s="107">
        <v>40364</v>
      </c>
      <c r="BE392" s="107"/>
      <c r="BF392" s="107"/>
      <c r="BG392" s="321"/>
      <c r="BH392" s="285" t="s">
        <v>1567</v>
      </c>
    </row>
    <row r="393" spans="1:60" s="61" customFormat="1" ht="20.100000000000001" customHeight="1">
      <c r="A393" s="195">
        <v>388</v>
      </c>
      <c r="B393" s="196" t="s">
        <v>937</v>
      </c>
      <c r="C393" s="65" t="s">
        <v>137</v>
      </c>
      <c r="D393" s="65" t="s">
        <v>85</v>
      </c>
      <c r="E393" s="65" t="s">
        <v>966</v>
      </c>
      <c r="F393" s="65" t="s">
        <v>967</v>
      </c>
      <c r="G393" s="110">
        <v>77864</v>
      </c>
      <c r="H393" s="196" t="s">
        <v>968</v>
      </c>
      <c r="I393" s="110">
        <v>110</v>
      </c>
      <c r="J393" s="110">
        <f t="shared" si="44"/>
        <v>673</v>
      </c>
      <c r="K393" s="110">
        <v>673</v>
      </c>
      <c r="L393" s="110"/>
      <c r="M393" s="110"/>
      <c r="N393" s="110"/>
      <c r="O393" s="110"/>
      <c r="P393" s="197">
        <f>SUM(Q393:S393)</f>
        <v>1382</v>
      </c>
      <c r="Q393" s="197">
        <v>379</v>
      </c>
      <c r="R393" s="197">
        <v>933</v>
      </c>
      <c r="S393" s="197">
        <v>70</v>
      </c>
      <c r="T393" s="197">
        <f t="shared" si="47"/>
        <v>1382</v>
      </c>
      <c r="U393" s="110">
        <f>SUM(V393:Z393)</f>
        <v>1312</v>
      </c>
      <c r="V393" s="110">
        <v>105</v>
      </c>
      <c r="W393" s="110">
        <v>572</v>
      </c>
      <c r="X393" s="110">
        <v>635</v>
      </c>
      <c r="Y393" s="110"/>
      <c r="Z393" s="110"/>
      <c r="AA393" s="110">
        <f>SUM(AB393:AD393)</f>
        <v>70</v>
      </c>
      <c r="AB393" s="110">
        <v>51</v>
      </c>
      <c r="AC393" s="110">
        <v>19</v>
      </c>
      <c r="AD393" s="110"/>
      <c r="AE393" s="110">
        <f t="shared" si="41"/>
        <v>709</v>
      </c>
      <c r="AF393" s="198" t="s">
        <v>196</v>
      </c>
      <c r="AG393" s="198">
        <v>2.38</v>
      </c>
      <c r="AH393" s="199">
        <v>545</v>
      </c>
      <c r="AI393" s="199">
        <v>375</v>
      </c>
      <c r="AJ393" s="196" t="s">
        <v>92</v>
      </c>
      <c r="AK393" s="196">
        <v>2006</v>
      </c>
      <c r="AL393" s="196"/>
      <c r="AM393" s="200" t="s">
        <v>563</v>
      </c>
      <c r="AN393" s="200"/>
      <c r="AO393" s="200"/>
      <c r="AP393" s="107">
        <v>39955</v>
      </c>
      <c r="AQ393" s="107">
        <v>42289</v>
      </c>
      <c r="AR393" s="107">
        <v>38933</v>
      </c>
      <c r="AS393" s="107"/>
      <c r="AT393" s="107"/>
      <c r="AU393" s="218"/>
      <c r="AV393" s="218" t="s">
        <v>70</v>
      </c>
      <c r="AW393" s="204" t="s">
        <v>70</v>
      </c>
      <c r="AX393" s="107"/>
      <c r="AY393" s="107">
        <v>40070</v>
      </c>
      <c r="AZ393" s="107">
        <v>42285</v>
      </c>
      <c r="BA393" s="107">
        <v>42418</v>
      </c>
      <c r="BB393" s="107">
        <v>42733</v>
      </c>
      <c r="BC393" s="107">
        <v>43077</v>
      </c>
      <c r="BD393" s="107">
        <v>44399</v>
      </c>
      <c r="BE393" s="107">
        <v>44651</v>
      </c>
      <c r="BF393" s="107">
        <v>45799</v>
      </c>
      <c r="BG393" s="321"/>
      <c r="BH393" s="285" t="s">
        <v>1567</v>
      </c>
    </row>
    <row r="394" spans="1:60" s="61" customFormat="1" ht="20.100000000000001" customHeight="1">
      <c r="A394" s="195">
        <v>389</v>
      </c>
      <c r="B394" s="196" t="s">
        <v>969</v>
      </c>
      <c r="C394" s="65" t="s">
        <v>68</v>
      </c>
      <c r="D394" s="65" t="s">
        <v>112</v>
      </c>
      <c r="E394" s="65" t="s">
        <v>970</v>
      </c>
      <c r="F394" s="65" t="s">
        <v>971</v>
      </c>
      <c r="G394" s="110">
        <v>46583</v>
      </c>
      <c r="H394" s="196"/>
      <c r="I394" s="110"/>
      <c r="J394" s="110"/>
      <c r="K394" s="208" t="s">
        <v>115</v>
      </c>
      <c r="L394" s="110"/>
      <c r="M394" s="110"/>
      <c r="N394" s="110"/>
      <c r="O394" s="110"/>
      <c r="P394" s="197"/>
      <c r="Q394" s="197"/>
      <c r="R394" s="197"/>
      <c r="S394" s="197"/>
      <c r="T394" s="197">
        <f t="shared" si="47"/>
        <v>0</v>
      </c>
      <c r="U394" s="110"/>
      <c r="V394" s="110"/>
      <c r="W394" s="110"/>
      <c r="X394" s="110"/>
      <c r="Y394" s="110"/>
      <c r="Z394" s="110"/>
      <c r="AA394" s="110"/>
      <c r="AB394" s="110"/>
      <c r="AC394" s="110"/>
      <c r="AD394" s="110"/>
      <c r="AE394" s="110">
        <f t="shared" si="41"/>
        <v>0</v>
      </c>
      <c r="AF394" s="198"/>
      <c r="AG394" s="198"/>
      <c r="AH394" s="199"/>
      <c r="AI394" s="199"/>
      <c r="AJ394" s="65"/>
      <c r="AK394" s="196">
        <v>2018</v>
      </c>
      <c r="AL394" s="196"/>
      <c r="AM394" s="202" t="s">
        <v>914</v>
      </c>
      <c r="AN394" s="229"/>
      <c r="AO394" s="230"/>
      <c r="AP394" s="107">
        <v>43677</v>
      </c>
      <c r="AQ394" s="107"/>
      <c r="AR394" s="107"/>
      <c r="AS394" s="196"/>
      <c r="AT394" s="196"/>
      <c r="AU394" s="218"/>
      <c r="AV394" s="218" t="s">
        <v>70</v>
      </c>
      <c r="AW394" s="204" t="s">
        <v>70</v>
      </c>
      <c r="AX394" s="196"/>
      <c r="AY394" s="196"/>
      <c r="AZ394" s="196"/>
      <c r="BA394" s="196"/>
      <c r="BB394" s="107">
        <v>44166</v>
      </c>
      <c r="BC394" s="196"/>
      <c r="BD394" s="107">
        <v>44559</v>
      </c>
      <c r="BE394" s="196"/>
      <c r="BF394" s="196"/>
      <c r="BG394" s="331"/>
      <c r="BH394" s="285" t="s">
        <v>1568</v>
      </c>
    </row>
    <row r="395" spans="1:60" s="61" customFormat="1" ht="20.100000000000001" customHeight="1">
      <c r="A395" s="195">
        <v>390</v>
      </c>
      <c r="B395" s="196" t="s">
        <v>969</v>
      </c>
      <c r="C395" s="65" t="s">
        <v>68</v>
      </c>
      <c r="D395" s="65" t="s">
        <v>112</v>
      </c>
      <c r="E395" s="65" t="s">
        <v>972</v>
      </c>
      <c r="F395" s="65" t="s">
        <v>973</v>
      </c>
      <c r="G395" s="110">
        <v>18490</v>
      </c>
      <c r="H395" s="196">
        <v>1984</v>
      </c>
      <c r="I395" s="110">
        <v>51</v>
      </c>
      <c r="J395" s="110">
        <f>SUM(K395:O395)</f>
        <v>126</v>
      </c>
      <c r="K395" s="208" t="s">
        <v>115</v>
      </c>
      <c r="L395" s="110"/>
      <c r="M395" s="110">
        <v>126</v>
      </c>
      <c r="N395" s="110"/>
      <c r="O395" s="110"/>
      <c r="P395" s="197"/>
      <c r="Q395" s="197"/>
      <c r="R395" s="197"/>
      <c r="S395" s="197"/>
      <c r="T395" s="197">
        <f t="shared" si="47"/>
        <v>0</v>
      </c>
      <c r="U395" s="110"/>
      <c r="V395" s="110" t="s">
        <v>116</v>
      </c>
      <c r="W395" s="110"/>
      <c r="X395" s="110"/>
      <c r="Y395" s="110"/>
      <c r="Z395" s="110"/>
      <c r="AA395" s="110"/>
      <c r="AB395" s="110"/>
      <c r="AC395" s="110"/>
      <c r="AD395" s="110"/>
      <c r="AE395" s="110">
        <f t="shared" si="41"/>
        <v>-126</v>
      </c>
      <c r="AF395" s="198">
        <v>2</v>
      </c>
      <c r="AG395" s="198">
        <v>2</v>
      </c>
      <c r="AH395" s="199">
        <v>47</v>
      </c>
      <c r="AI395" s="199"/>
      <c r="AJ395" s="65" t="s">
        <v>117</v>
      </c>
      <c r="AK395" s="196">
        <v>2014</v>
      </c>
      <c r="AL395" s="196">
        <v>2019</v>
      </c>
      <c r="AM395" s="202" t="s">
        <v>914</v>
      </c>
      <c r="AN395" s="229"/>
      <c r="AO395" s="230"/>
      <c r="AP395" s="107">
        <v>42322</v>
      </c>
      <c r="AQ395" s="107"/>
      <c r="AR395" s="107"/>
      <c r="AS395" s="196"/>
      <c r="AT395" s="196"/>
      <c r="AU395" s="218"/>
      <c r="AV395" s="218" t="s">
        <v>70</v>
      </c>
      <c r="AW395" s="204" t="s">
        <v>70</v>
      </c>
      <c r="AX395" s="196"/>
      <c r="AY395" s="196"/>
      <c r="AZ395" s="196"/>
      <c r="BA395" s="196"/>
      <c r="BB395" s="107">
        <v>42494</v>
      </c>
      <c r="BC395" s="196"/>
      <c r="BD395" s="202">
        <v>43635</v>
      </c>
      <c r="BE395" s="196"/>
      <c r="BF395" s="196"/>
      <c r="BG395" s="331"/>
      <c r="BH395" s="285" t="s">
        <v>1568</v>
      </c>
    </row>
    <row r="396" spans="1:60" s="56" customFormat="1" ht="20.100000000000001" customHeight="1">
      <c r="A396" s="195">
        <v>391</v>
      </c>
      <c r="B396" s="196" t="s">
        <v>974</v>
      </c>
      <c r="C396" s="65" t="s">
        <v>64</v>
      </c>
      <c r="D396" s="65" t="s">
        <v>73</v>
      </c>
      <c r="E396" s="231" t="s">
        <v>975</v>
      </c>
      <c r="F396" s="211" t="s">
        <v>976</v>
      </c>
      <c r="G396" s="110">
        <v>127286.7</v>
      </c>
      <c r="H396" s="215">
        <v>1989</v>
      </c>
      <c r="I396" s="208">
        <v>20</v>
      </c>
      <c r="J396" s="222">
        <v>3566</v>
      </c>
      <c r="K396" s="208"/>
      <c r="L396" s="208">
        <v>3566</v>
      </c>
      <c r="M396" s="208"/>
      <c r="N396" s="208"/>
      <c r="O396" s="208"/>
      <c r="P396" s="197">
        <v>0</v>
      </c>
      <c r="Q396" s="197">
        <v>0</v>
      </c>
      <c r="R396" s="197">
        <v>0</v>
      </c>
      <c r="S396" s="197"/>
      <c r="T396" s="197">
        <f t="shared" si="47"/>
        <v>4119</v>
      </c>
      <c r="U396" s="225">
        <v>4119</v>
      </c>
      <c r="V396" s="110"/>
      <c r="W396" s="110">
        <v>0</v>
      </c>
      <c r="X396" s="110">
        <v>0</v>
      </c>
      <c r="Y396" s="110"/>
      <c r="Z396" s="110"/>
      <c r="AA396" s="110">
        <v>0</v>
      </c>
      <c r="AB396" s="110">
        <v>0</v>
      </c>
      <c r="AC396" s="110">
        <v>0</v>
      </c>
      <c r="AD396" s="110">
        <v>0</v>
      </c>
      <c r="AE396" s="110">
        <f t="shared" si="41"/>
        <v>553</v>
      </c>
      <c r="AF396" s="198">
        <f>(163+195)/2/100</f>
        <v>1.79</v>
      </c>
      <c r="AG396" s="198">
        <v>3.3</v>
      </c>
      <c r="AH396" s="213">
        <v>3521</v>
      </c>
      <c r="AI396" s="213" t="s">
        <v>70</v>
      </c>
      <c r="AJ396" s="196" t="s">
        <v>543</v>
      </c>
      <c r="AK396" s="215">
        <v>2025</v>
      </c>
      <c r="AL396" s="215">
        <v>2035</v>
      </c>
      <c r="AM396" s="202" t="s">
        <v>914</v>
      </c>
      <c r="AN396" s="202" t="s">
        <v>914</v>
      </c>
      <c r="AO396" s="107"/>
      <c r="AP396" s="202">
        <v>45806</v>
      </c>
      <c r="AQ396" s="107"/>
      <c r="AR396" s="107"/>
      <c r="AS396" s="202">
        <v>44683</v>
      </c>
      <c r="AT396" s="202"/>
      <c r="AU396" s="218">
        <v>45313</v>
      </c>
      <c r="AV396" s="218" t="s">
        <v>82</v>
      </c>
      <c r="AW396" s="196"/>
      <c r="AX396" s="218">
        <v>45489</v>
      </c>
      <c r="AY396" s="107">
        <v>45806</v>
      </c>
      <c r="AZ396" s="202"/>
      <c r="BA396" s="202"/>
      <c r="BB396" s="202"/>
      <c r="BC396" s="202"/>
      <c r="BD396" s="202"/>
      <c r="BE396" s="202"/>
      <c r="BF396" s="202"/>
      <c r="BG396" s="332"/>
      <c r="BH396" s="285" t="s">
        <v>1569</v>
      </c>
    </row>
    <row r="397" spans="1:60" s="56" customFormat="1" ht="20.25" customHeight="1">
      <c r="A397" s="195">
        <v>392</v>
      </c>
      <c r="B397" s="196" t="s">
        <v>974</v>
      </c>
      <c r="C397" s="65" t="s">
        <v>64</v>
      </c>
      <c r="D397" s="65" t="s">
        <v>73</v>
      </c>
      <c r="E397" s="231" t="s">
        <v>977</v>
      </c>
      <c r="F397" s="211" t="s">
        <v>978</v>
      </c>
      <c r="G397" s="110">
        <v>101081.5</v>
      </c>
      <c r="H397" s="215">
        <v>1990</v>
      </c>
      <c r="I397" s="208">
        <v>18</v>
      </c>
      <c r="J397" s="222">
        <v>2049</v>
      </c>
      <c r="K397" s="208"/>
      <c r="L397" s="208">
        <f>480+1336</f>
        <v>1816</v>
      </c>
      <c r="M397" s="208">
        <v>360</v>
      </c>
      <c r="N397" s="208"/>
      <c r="O397" s="208"/>
      <c r="P397" s="197">
        <v>0</v>
      </c>
      <c r="Q397" s="197">
        <v>0</v>
      </c>
      <c r="R397" s="197">
        <v>0</v>
      </c>
      <c r="S397" s="197"/>
      <c r="T397" s="197">
        <f t="shared" si="47"/>
        <v>2832</v>
      </c>
      <c r="U397" s="225">
        <v>2832</v>
      </c>
      <c r="V397" s="110"/>
      <c r="W397" s="110">
        <v>0</v>
      </c>
      <c r="X397" s="110">
        <v>0</v>
      </c>
      <c r="Y397" s="110">
        <v>0</v>
      </c>
      <c r="Z397" s="110"/>
      <c r="AA397" s="110">
        <v>0</v>
      </c>
      <c r="AB397" s="110">
        <v>0</v>
      </c>
      <c r="AC397" s="110">
        <v>0</v>
      </c>
      <c r="AD397" s="110">
        <v>0</v>
      </c>
      <c r="AE397" s="110">
        <f t="shared" si="41"/>
        <v>783</v>
      </c>
      <c r="AF397" s="198">
        <v>1.92</v>
      </c>
      <c r="AG397" s="198">
        <v>3.3</v>
      </c>
      <c r="AH397" s="213">
        <v>2190</v>
      </c>
      <c r="AI397" s="213" t="s">
        <v>70</v>
      </c>
      <c r="AJ397" s="196" t="s">
        <v>543</v>
      </c>
      <c r="AK397" s="215">
        <v>2025</v>
      </c>
      <c r="AL397" s="215">
        <v>2035</v>
      </c>
      <c r="AM397" s="202" t="s">
        <v>914</v>
      </c>
      <c r="AN397" s="202" t="s">
        <v>914</v>
      </c>
      <c r="AO397" s="107"/>
      <c r="AP397" s="202">
        <v>45805</v>
      </c>
      <c r="AQ397" s="107"/>
      <c r="AR397" s="107"/>
      <c r="AS397" s="202">
        <v>44610</v>
      </c>
      <c r="AT397" s="202"/>
      <c r="AU397" s="218">
        <v>45316</v>
      </c>
      <c r="AV397" s="218" t="s">
        <v>82</v>
      </c>
      <c r="AW397" s="196"/>
      <c r="AX397" s="218">
        <v>45489</v>
      </c>
      <c r="AY397" s="107">
        <v>45805</v>
      </c>
      <c r="AZ397" s="202"/>
      <c r="BA397" s="202"/>
      <c r="BB397" s="202"/>
      <c r="BC397" s="202"/>
      <c r="BD397" s="202"/>
      <c r="BE397" s="202"/>
      <c r="BF397" s="202"/>
      <c r="BG397" s="332"/>
      <c r="BH397" s="285" t="s">
        <v>1570</v>
      </c>
    </row>
    <row r="398" spans="1:60" s="56" customFormat="1" ht="20.25" customHeight="1">
      <c r="A398" s="195">
        <v>393</v>
      </c>
      <c r="B398" s="196" t="s">
        <v>974</v>
      </c>
      <c r="C398" s="65" t="s">
        <v>64</v>
      </c>
      <c r="D398" s="65" t="s">
        <v>73</v>
      </c>
      <c r="E398" s="231" t="s">
        <v>979</v>
      </c>
      <c r="F398" s="211" t="s">
        <v>980</v>
      </c>
      <c r="G398" s="110">
        <v>104527</v>
      </c>
      <c r="H398" s="215">
        <v>1990</v>
      </c>
      <c r="I398" s="208">
        <f>15+15</f>
        <v>30</v>
      </c>
      <c r="J398" s="222">
        <v>2602</v>
      </c>
      <c r="K398" s="208"/>
      <c r="L398" s="208">
        <f>540+720+300+802</f>
        <v>2362</v>
      </c>
      <c r="M398" s="208">
        <v>240</v>
      </c>
      <c r="N398" s="208"/>
      <c r="O398" s="208"/>
      <c r="P398" s="197">
        <v>0</v>
      </c>
      <c r="Q398" s="197">
        <v>0</v>
      </c>
      <c r="R398" s="197">
        <v>0</v>
      </c>
      <c r="S398" s="197"/>
      <c r="T398" s="197">
        <f t="shared" si="47"/>
        <v>3263</v>
      </c>
      <c r="U398" s="225">
        <v>3263</v>
      </c>
      <c r="V398" s="110"/>
      <c r="W398" s="110">
        <v>0</v>
      </c>
      <c r="X398" s="110">
        <v>0</v>
      </c>
      <c r="Y398" s="110">
        <v>0</v>
      </c>
      <c r="Z398" s="110"/>
      <c r="AA398" s="110">
        <v>0</v>
      </c>
      <c r="AB398" s="110">
        <v>0</v>
      </c>
      <c r="AC398" s="110">
        <v>0</v>
      </c>
      <c r="AD398" s="110">
        <v>0</v>
      </c>
      <c r="AE398" s="110">
        <f t="shared" si="41"/>
        <v>661</v>
      </c>
      <c r="AF398" s="198">
        <f>(155+182)/2/100</f>
        <v>1.6850000000000001</v>
      </c>
      <c r="AG398" s="198">
        <v>3.3</v>
      </c>
      <c r="AH398" s="213">
        <v>2570</v>
      </c>
      <c r="AI398" s="213" t="s">
        <v>70</v>
      </c>
      <c r="AJ398" s="196" t="s">
        <v>543</v>
      </c>
      <c r="AK398" s="215">
        <v>2025</v>
      </c>
      <c r="AL398" s="215">
        <v>2035</v>
      </c>
      <c r="AM398" s="202" t="s">
        <v>914</v>
      </c>
      <c r="AN398" s="202" t="s">
        <v>914</v>
      </c>
      <c r="AO398" s="107"/>
      <c r="AP398" s="202">
        <v>46001</v>
      </c>
      <c r="AQ398" s="107"/>
      <c r="AR398" s="107"/>
      <c r="AS398" s="202">
        <v>44609</v>
      </c>
      <c r="AT398" s="202"/>
      <c r="AU398" s="218">
        <v>45301</v>
      </c>
      <c r="AV398" s="218" t="s">
        <v>82</v>
      </c>
      <c r="AW398" s="196"/>
      <c r="AX398" s="218">
        <v>45489</v>
      </c>
      <c r="AY398" s="107">
        <v>46001</v>
      </c>
      <c r="AZ398" s="202"/>
      <c r="BA398" s="202"/>
      <c r="BB398" s="202"/>
      <c r="BC398" s="202"/>
      <c r="BD398" s="202"/>
      <c r="BE398" s="202"/>
      <c r="BF398" s="202"/>
      <c r="BG398" s="332"/>
      <c r="BH398" s="285" t="s">
        <v>1569</v>
      </c>
    </row>
    <row r="399" spans="1:60" s="77" customFormat="1" ht="20.25" customHeight="1">
      <c r="A399" s="195">
        <v>394</v>
      </c>
      <c r="B399" s="196" t="s">
        <v>974</v>
      </c>
      <c r="C399" s="65" t="s">
        <v>64</v>
      </c>
      <c r="D399" s="65" t="s">
        <v>73</v>
      </c>
      <c r="E399" s="232" t="s">
        <v>981</v>
      </c>
      <c r="F399" s="211" t="s">
        <v>982</v>
      </c>
      <c r="G399" s="110">
        <v>82046</v>
      </c>
      <c r="H399" s="215">
        <v>1990</v>
      </c>
      <c r="I399" s="208">
        <v>13</v>
      </c>
      <c r="J399" s="208">
        <v>1818</v>
      </c>
      <c r="K399" s="208"/>
      <c r="L399" s="208">
        <v>1578</v>
      </c>
      <c r="M399" s="208">
        <v>240</v>
      </c>
      <c r="N399" s="208"/>
      <c r="O399" s="208"/>
      <c r="P399" s="197">
        <v>0</v>
      </c>
      <c r="Q399" s="197">
        <v>0</v>
      </c>
      <c r="R399" s="197">
        <v>0</v>
      </c>
      <c r="S399" s="197">
        <v>0</v>
      </c>
      <c r="T399" s="197">
        <f t="shared" si="47"/>
        <v>2198</v>
      </c>
      <c r="U399" s="225">
        <v>2198</v>
      </c>
      <c r="V399" s="110">
        <v>0</v>
      </c>
      <c r="W399" s="110">
        <v>0</v>
      </c>
      <c r="X399" s="110">
        <v>0</v>
      </c>
      <c r="Y399" s="110">
        <v>0</v>
      </c>
      <c r="Z399" s="110">
        <v>0</v>
      </c>
      <c r="AA399" s="110">
        <v>0</v>
      </c>
      <c r="AB399" s="110">
        <v>0</v>
      </c>
      <c r="AC399" s="110">
        <v>0</v>
      </c>
      <c r="AD399" s="110">
        <v>0</v>
      </c>
      <c r="AE399" s="110">
        <f t="shared" si="41"/>
        <v>380</v>
      </c>
      <c r="AF399" s="198">
        <v>1.6919999999999999</v>
      </c>
      <c r="AG399" s="198">
        <v>3.3</v>
      </c>
      <c r="AH399" s="213">
        <v>1823</v>
      </c>
      <c r="AI399" s="213">
        <v>1383</v>
      </c>
      <c r="AJ399" s="196" t="s">
        <v>543</v>
      </c>
      <c r="AK399" s="215">
        <v>2025</v>
      </c>
      <c r="AL399" s="215">
        <v>2035</v>
      </c>
      <c r="AM399" s="202" t="s">
        <v>914</v>
      </c>
      <c r="AN399" s="202" t="s">
        <v>914</v>
      </c>
      <c r="AO399" s="107"/>
      <c r="AP399" s="202">
        <v>46001</v>
      </c>
      <c r="AQ399" s="107"/>
      <c r="AR399" s="202"/>
      <c r="AS399" s="202">
        <v>44741</v>
      </c>
      <c r="AT399" s="202"/>
      <c r="AU399" s="218">
        <v>45323</v>
      </c>
      <c r="AV399" s="218" t="s">
        <v>82</v>
      </c>
      <c r="AW399" s="196"/>
      <c r="AX399" s="202">
        <v>45489</v>
      </c>
      <c r="AY399" s="107">
        <v>46001</v>
      </c>
      <c r="AZ399" s="202"/>
      <c r="BA399" s="202"/>
      <c r="BB399" s="202"/>
      <c r="BC399" s="202"/>
      <c r="BD399" s="202"/>
      <c r="BE399" s="202"/>
      <c r="BF399" s="202"/>
      <c r="BG399" s="332"/>
      <c r="BH399" s="285" t="s">
        <v>1571</v>
      </c>
    </row>
    <row r="400" spans="1:60" s="77" customFormat="1" ht="20.25" customHeight="1">
      <c r="A400" s="195">
        <v>395</v>
      </c>
      <c r="B400" s="196" t="s">
        <v>974</v>
      </c>
      <c r="C400" s="65" t="s">
        <v>64</v>
      </c>
      <c r="D400" s="65" t="s">
        <v>73</v>
      </c>
      <c r="E400" s="232" t="s">
        <v>983</v>
      </c>
      <c r="F400" s="211" t="s">
        <v>984</v>
      </c>
      <c r="G400" s="110">
        <v>130926</v>
      </c>
      <c r="H400" s="215">
        <v>1990</v>
      </c>
      <c r="I400" s="208">
        <v>23</v>
      </c>
      <c r="J400" s="208">
        <v>3112</v>
      </c>
      <c r="K400" s="208"/>
      <c r="L400" s="208">
        <v>2752</v>
      </c>
      <c r="M400" s="208">
        <v>360</v>
      </c>
      <c r="N400" s="208"/>
      <c r="O400" s="208"/>
      <c r="P400" s="197">
        <v>0</v>
      </c>
      <c r="Q400" s="197">
        <v>0</v>
      </c>
      <c r="R400" s="197">
        <v>0</v>
      </c>
      <c r="S400" s="197">
        <v>0</v>
      </c>
      <c r="T400" s="197">
        <f t="shared" si="47"/>
        <v>4004</v>
      </c>
      <c r="U400" s="225">
        <v>4004</v>
      </c>
      <c r="V400" s="110">
        <v>0</v>
      </c>
      <c r="W400" s="110">
        <v>0</v>
      </c>
      <c r="X400" s="110">
        <v>0</v>
      </c>
      <c r="Y400" s="110">
        <v>0</v>
      </c>
      <c r="Z400" s="110">
        <v>0</v>
      </c>
      <c r="AA400" s="110">
        <v>0</v>
      </c>
      <c r="AB400" s="110">
        <v>0</v>
      </c>
      <c r="AC400" s="110">
        <v>0</v>
      </c>
      <c r="AD400" s="110">
        <v>0</v>
      </c>
      <c r="AE400" s="110">
        <f t="shared" si="41"/>
        <v>892</v>
      </c>
      <c r="AF400" s="198">
        <v>1.6385000000000001</v>
      </c>
      <c r="AG400" s="198">
        <v>3.3</v>
      </c>
      <c r="AH400" s="213">
        <v>3099</v>
      </c>
      <c r="AI400" s="213">
        <v>2340</v>
      </c>
      <c r="AJ400" s="196" t="s">
        <v>543</v>
      </c>
      <c r="AK400" s="215">
        <v>2025</v>
      </c>
      <c r="AL400" s="215">
        <v>2035</v>
      </c>
      <c r="AM400" s="202" t="s">
        <v>914</v>
      </c>
      <c r="AN400" s="202" t="s">
        <v>914</v>
      </c>
      <c r="AO400" s="107"/>
      <c r="AP400" s="202">
        <v>46001</v>
      </c>
      <c r="AQ400" s="107"/>
      <c r="AR400" s="202"/>
      <c r="AS400" s="202">
        <v>44742</v>
      </c>
      <c r="AT400" s="202"/>
      <c r="AU400" s="218">
        <v>45307</v>
      </c>
      <c r="AV400" s="218" t="s">
        <v>82</v>
      </c>
      <c r="AW400" s="196"/>
      <c r="AX400" s="202">
        <v>45489</v>
      </c>
      <c r="AY400" s="107">
        <v>46001</v>
      </c>
      <c r="AZ400" s="202"/>
      <c r="BA400" s="202"/>
      <c r="BB400" s="202"/>
      <c r="BC400" s="202"/>
      <c r="BD400" s="202"/>
      <c r="BE400" s="202"/>
      <c r="BF400" s="202"/>
      <c r="BG400" s="332"/>
      <c r="BH400" s="285" t="s">
        <v>1571</v>
      </c>
    </row>
    <row r="401" spans="1:60" s="77" customFormat="1" ht="20.25" customHeight="1">
      <c r="A401" s="195">
        <v>396</v>
      </c>
      <c r="B401" s="196" t="s">
        <v>974</v>
      </c>
      <c r="C401" s="65" t="s">
        <v>64</v>
      </c>
      <c r="D401" s="65" t="s">
        <v>73</v>
      </c>
      <c r="E401" s="232" t="s">
        <v>985</v>
      </c>
      <c r="F401" s="211" t="s">
        <v>986</v>
      </c>
      <c r="G401" s="110">
        <v>118536</v>
      </c>
      <c r="H401" s="215">
        <v>1990</v>
      </c>
      <c r="I401" s="208">
        <v>24</v>
      </c>
      <c r="J401" s="208">
        <v>2392</v>
      </c>
      <c r="K401" s="208"/>
      <c r="L401" s="208">
        <v>1612</v>
      </c>
      <c r="M401" s="208">
        <v>780</v>
      </c>
      <c r="N401" s="208"/>
      <c r="O401" s="208"/>
      <c r="P401" s="197">
        <v>0</v>
      </c>
      <c r="Q401" s="197">
        <v>0</v>
      </c>
      <c r="R401" s="197">
        <v>0</v>
      </c>
      <c r="S401" s="197">
        <v>0</v>
      </c>
      <c r="T401" s="197">
        <f t="shared" si="47"/>
        <v>3407</v>
      </c>
      <c r="U401" s="225">
        <v>3407</v>
      </c>
      <c r="V401" s="110">
        <v>0</v>
      </c>
      <c r="W401" s="110">
        <v>0</v>
      </c>
      <c r="X401" s="110">
        <v>0</v>
      </c>
      <c r="Y401" s="110">
        <v>0</v>
      </c>
      <c r="Z401" s="110">
        <v>0</v>
      </c>
      <c r="AA401" s="110">
        <v>0</v>
      </c>
      <c r="AB401" s="110">
        <v>0</v>
      </c>
      <c r="AC401" s="110">
        <v>0</v>
      </c>
      <c r="AD401" s="110">
        <v>0</v>
      </c>
      <c r="AE401" s="110">
        <f t="shared" si="41"/>
        <v>1015</v>
      </c>
      <c r="AF401" s="198">
        <v>1.5509999999999999</v>
      </c>
      <c r="AG401" s="198">
        <v>3.3</v>
      </c>
      <c r="AH401" s="213">
        <v>2374</v>
      </c>
      <c r="AI401" s="213">
        <v>1981</v>
      </c>
      <c r="AJ401" s="196" t="s">
        <v>543</v>
      </c>
      <c r="AK401" s="215">
        <v>2025</v>
      </c>
      <c r="AL401" s="215">
        <v>2035</v>
      </c>
      <c r="AM401" s="202" t="s">
        <v>914</v>
      </c>
      <c r="AN401" s="202" t="s">
        <v>914</v>
      </c>
      <c r="AO401" s="107"/>
      <c r="AP401" s="202">
        <v>46001</v>
      </c>
      <c r="AQ401" s="107"/>
      <c r="AR401" s="202"/>
      <c r="AS401" s="202">
        <v>44610</v>
      </c>
      <c r="AT401" s="202"/>
      <c r="AU401" s="218">
        <v>45335</v>
      </c>
      <c r="AV401" s="218" t="s">
        <v>82</v>
      </c>
      <c r="AW401" s="196"/>
      <c r="AX401" s="202">
        <v>45489</v>
      </c>
      <c r="AY401" s="107">
        <v>46001</v>
      </c>
      <c r="AZ401" s="202"/>
      <c r="BA401" s="202"/>
      <c r="BB401" s="202"/>
      <c r="BC401" s="202"/>
      <c r="BD401" s="202"/>
      <c r="BE401" s="202"/>
      <c r="BF401" s="202"/>
      <c r="BG401" s="332"/>
      <c r="BH401" s="285" t="s">
        <v>1571</v>
      </c>
    </row>
    <row r="402" spans="1:60" s="56" customFormat="1" ht="20.100000000000001" customHeight="1">
      <c r="A402" s="195">
        <v>397</v>
      </c>
      <c r="B402" s="196" t="s">
        <v>974</v>
      </c>
      <c r="C402" s="65" t="s">
        <v>88</v>
      </c>
      <c r="D402" s="65" t="s">
        <v>73</v>
      </c>
      <c r="E402" s="232" t="s">
        <v>987</v>
      </c>
      <c r="F402" s="211" t="s">
        <v>988</v>
      </c>
      <c r="G402" s="110">
        <v>89404</v>
      </c>
      <c r="H402" s="215">
        <v>1990</v>
      </c>
      <c r="I402" s="208">
        <v>21</v>
      </c>
      <c r="J402" s="222">
        <v>1680</v>
      </c>
      <c r="K402" s="208"/>
      <c r="L402" s="208"/>
      <c r="M402" s="208">
        <v>1201</v>
      </c>
      <c r="N402" s="208">
        <v>479</v>
      </c>
      <c r="O402" s="208"/>
      <c r="P402" s="197">
        <v>0</v>
      </c>
      <c r="Q402" s="197">
        <v>0</v>
      </c>
      <c r="R402" s="197">
        <v>0</v>
      </c>
      <c r="S402" s="197"/>
      <c r="T402" s="197">
        <f t="shared" si="47"/>
        <v>2451</v>
      </c>
      <c r="U402" s="222">
        <v>2451</v>
      </c>
      <c r="V402" s="110"/>
      <c r="W402" s="110">
        <v>0</v>
      </c>
      <c r="X402" s="110">
        <v>0</v>
      </c>
      <c r="Y402" s="110">
        <v>0</v>
      </c>
      <c r="Z402" s="110"/>
      <c r="AA402" s="110">
        <v>0</v>
      </c>
      <c r="AB402" s="110">
        <v>0</v>
      </c>
      <c r="AC402" s="110">
        <v>0</v>
      </c>
      <c r="AD402" s="110">
        <v>0</v>
      </c>
      <c r="AE402" s="110">
        <f t="shared" si="41"/>
        <v>771</v>
      </c>
      <c r="AF402" s="198">
        <v>1.6</v>
      </c>
      <c r="AG402" s="198">
        <v>3.3</v>
      </c>
      <c r="AH402" s="107" t="s">
        <v>70</v>
      </c>
      <c r="AI402" s="213" t="s">
        <v>70</v>
      </c>
      <c r="AJ402" s="196" t="s">
        <v>92</v>
      </c>
      <c r="AK402" s="107" t="s">
        <v>70</v>
      </c>
      <c r="AL402" s="107" t="s">
        <v>70</v>
      </c>
      <c r="AM402" s="202" t="s">
        <v>914</v>
      </c>
      <c r="AN402" s="202" t="s">
        <v>914</v>
      </c>
      <c r="AO402" s="107"/>
      <c r="AP402" s="107"/>
      <c r="AQ402" s="107"/>
      <c r="AR402" s="202">
        <v>45917</v>
      </c>
      <c r="AS402" s="202">
        <v>44741</v>
      </c>
      <c r="AT402" s="202"/>
      <c r="AU402" s="218">
        <v>45323</v>
      </c>
      <c r="AV402" s="218" t="s">
        <v>82</v>
      </c>
      <c r="AW402" s="196"/>
      <c r="AX402" s="218">
        <v>45489</v>
      </c>
      <c r="AY402" s="107"/>
      <c r="AZ402" s="202"/>
      <c r="BA402" s="202"/>
      <c r="BB402" s="202"/>
      <c r="BC402" s="202"/>
      <c r="BD402" s="202"/>
      <c r="BE402" s="202"/>
      <c r="BF402" s="202"/>
      <c r="BG402" s="332"/>
      <c r="BH402" s="285" t="s">
        <v>1570</v>
      </c>
    </row>
    <row r="403" spans="1:60" s="56" customFormat="1" ht="20.100000000000001" customHeight="1">
      <c r="A403" s="195">
        <v>398</v>
      </c>
      <c r="B403" s="196" t="s">
        <v>974</v>
      </c>
      <c r="C403" s="65" t="s">
        <v>88</v>
      </c>
      <c r="D403" s="65" t="s">
        <v>73</v>
      </c>
      <c r="E403" s="232" t="s">
        <v>989</v>
      </c>
      <c r="F403" s="211" t="s">
        <v>990</v>
      </c>
      <c r="G403" s="110">
        <v>126761</v>
      </c>
      <c r="H403" s="215">
        <v>1986</v>
      </c>
      <c r="I403" s="208">
        <v>24</v>
      </c>
      <c r="J403" s="222">
        <v>1800</v>
      </c>
      <c r="K403" s="208"/>
      <c r="L403" s="208">
        <v>306</v>
      </c>
      <c r="M403" s="208">
        <v>1494</v>
      </c>
      <c r="N403" s="208"/>
      <c r="O403" s="208"/>
      <c r="P403" s="197">
        <v>2718</v>
      </c>
      <c r="Q403" s="197">
        <v>1800</v>
      </c>
      <c r="R403" s="197">
        <v>918</v>
      </c>
      <c r="S403" s="197"/>
      <c r="T403" s="197">
        <f t="shared" si="47"/>
        <v>2718</v>
      </c>
      <c r="U403" s="233">
        <f>SUM(V403:Y403)</f>
        <v>2718</v>
      </c>
      <c r="V403" s="110"/>
      <c r="W403" s="110">
        <v>386</v>
      </c>
      <c r="X403" s="110">
        <v>2017</v>
      </c>
      <c r="Y403" s="110">
        <v>315</v>
      </c>
      <c r="Z403" s="110"/>
      <c r="AA403" s="110"/>
      <c r="AB403" s="110"/>
      <c r="AC403" s="110"/>
      <c r="AD403" s="110"/>
      <c r="AE403" s="110">
        <f t="shared" ref="AE403:AE434" si="48">T403-J403</f>
        <v>918</v>
      </c>
      <c r="AF403" s="198">
        <v>1.59</v>
      </c>
      <c r="AG403" s="198">
        <v>3.3</v>
      </c>
      <c r="AH403" s="213">
        <v>1849</v>
      </c>
      <c r="AI403" s="213">
        <v>1800</v>
      </c>
      <c r="AJ403" s="196" t="s">
        <v>92</v>
      </c>
      <c r="AK403" s="215">
        <v>2025</v>
      </c>
      <c r="AL403" s="215">
        <v>2035</v>
      </c>
      <c r="AM403" s="202" t="s">
        <v>914</v>
      </c>
      <c r="AN403" s="202" t="s">
        <v>914</v>
      </c>
      <c r="AO403" s="107">
        <v>45870</v>
      </c>
      <c r="AP403" s="107">
        <v>45870</v>
      </c>
      <c r="AQ403" s="107"/>
      <c r="AR403" s="202">
        <v>45896</v>
      </c>
      <c r="AS403" s="202">
        <v>43175</v>
      </c>
      <c r="AT403" s="202"/>
      <c r="AU403" s="218">
        <v>44508</v>
      </c>
      <c r="AV403" s="218" t="s">
        <v>82</v>
      </c>
      <c r="AW403" s="196" t="s">
        <v>70</v>
      </c>
      <c r="AX403" s="202"/>
      <c r="AY403" s="107"/>
      <c r="AZ403" s="202"/>
      <c r="BA403" s="202"/>
      <c r="BB403" s="202"/>
      <c r="BC403" s="202"/>
      <c r="BD403" s="202"/>
      <c r="BE403" s="202"/>
      <c r="BF403" s="202"/>
      <c r="BG403" s="332"/>
      <c r="BH403" s="285" t="s">
        <v>1569</v>
      </c>
    </row>
    <row r="404" spans="1:60" s="56" customFormat="1" ht="20.100000000000001" customHeight="1">
      <c r="A404" s="195">
        <v>399</v>
      </c>
      <c r="B404" s="196" t="s">
        <v>974</v>
      </c>
      <c r="C404" s="65" t="s">
        <v>64</v>
      </c>
      <c r="D404" s="65" t="s">
        <v>73</v>
      </c>
      <c r="E404" s="232" t="s">
        <v>991</v>
      </c>
      <c r="F404" s="211" t="s">
        <v>992</v>
      </c>
      <c r="G404" s="110">
        <v>164632</v>
      </c>
      <c r="H404" s="215">
        <v>1986</v>
      </c>
      <c r="I404" s="208">
        <v>24</v>
      </c>
      <c r="J404" s="222">
        <v>2460</v>
      </c>
      <c r="K404" s="208"/>
      <c r="L404" s="208"/>
      <c r="M404" s="208"/>
      <c r="N404" s="208">
        <v>2286</v>
      </c>
      <c r="O404" s="208">
        <v>174</v>
      </c>
      <c r="P404" s="197">
        <v>3719</v>
      </c>
      <c r="Q404" s="197">
        <v>2253</v>
      </c>
      <c r="R404" s="197">
        <v>1466</v>
      </c>
      <c r="S404" s="197"/>
      <c r="T404" s="197">
        <f t="shared" si="47"/>
        <v>3719</v>
      </c>
      <c r="U404" s="222">
        <v>3719</v>
      </c>
      <c r="V404" s="110"/>
      <c r="W404" s="110">
        <v>172</v>
      </c>
      <c r="X404" s="110">
        <f>877+2212</f>
        <v>3089</v>
      </c>
      <c r="Y404" s="110">
        <f>274+176+8</f>
        <v>458</v>
      </c>
      <c r="Z404" s="110"/>
      <c r="AA404" s="110">
        <v>0</v>
      </c>
      <c r="AB404" s="110">
        <v>0</v>
      </c>
      <c r="AC404" s="110">
        <v>0</v>
      </c>
      <c r="AD404" s="110">
        <v>0</v>
      </c>
      <c r="AE404" s="110">
        <f t="shared" si="48"/>
        <v>1259</v>
      </c>
      <c r="AF404" s="198">
        <v>1.7090000000000001</v>
      </c>
      <c r="AG404" s="198">
        <v>3.3</v>
      </c>
      <c r="AH404" s="213">
        <v>2526</v>
      </c>
      <c r="AI404" s="213">
        <v>2253</v>
      </c>
      <c r="AJ404" s="196" t="s">
        <v>92</v>
      </c>
      <c r="AK404" s="215">
        <v>2025</v>
      </c>
      <c r="AL404" s="215">
        <v>2035</v>
      </c>
      <c r="AM404" s="202" t="s">
        <v>914</v>
      </c>
      <c r="AN404" s="202" t="s">
        <v>914</v>
      </c>
      <c r="AO404" s="202">
        <v>45786</v>
      </c>
      <c r="AP404" s="202">
        <v>45786</v>
      </c>
      <c r="AQ404" s="107"/>
      <c r="AR404" s="202">
        <v>45860</v>
      </c>
      <c r="AS404" s="202">
        <v>43175</v>
      </c>
      <c r="AT404" s="202"/>
      <c r="AU404" s="218">
        <v>44938</v>
      </c>
      <c r="AV404" s="218" t="s">
        <v>82</v>
      </c>
      <c r="AW404" s="196"/>
      <c r="AX404" s="202"/>
      <c r="AY404" s="202">
        <v>46141</v>
      </c>
      <c r="AZ404" s="202"/>
      <c r="BA404" s="202"/>
      <c r="BB404" s="202"/>
      <c r="BC404" s="202"/>
      <c r="BD404" s="202"/>
      <c r="BE404" s="202"/>
      <c r="BF404" s="202"/>
      <c r="BG404" s="332"/>
      <c r="BH404" s="285" t="s">
        <v>1570</v>
      </c>
    </row>
    <row r="405" spans="1:60" s="56" customFormat="1" ht="20.100000000000001" customHeight="1">
      <c r="A405" s="195">
        <v>400</v>
      </c>
      <c r="B405" s="196" t="s">
        <v>974</v>
      </c>
      <c r="C405" s="65" t="s">
        <v>88</v>
      </c>
      <c r="D405" s="65" t="s">
        <v>73</v>
      </c>
      <c r="E405" s="232" t="s">
        <v>993</v>
      </c>
      <c r="F405" s="211" t="s">
        <v>994</v>
      </c>
      <c r="G405" s="110">
        <v>111640</v>
      </c>
      <c r="H405" s="215">
        <v>1989</v>
      </c>
      <c r="I405" s="208">
        <v>20</v>
      </c>
      <c r="J405" s="208">
        <v>2846</v>
      </c>
      <c r="K405" s="208"/>
      <c r="L405" s="208">
        <v>2726</v>
      </c>
      <c r="M405" s="208">
        <v>120</v>
      </c>
      <c r="N405" s="208"/>
      <c r="O405" s="208"/>
      <c r="P405" s="197">
        <v>0</v>
      </c>
      <c r="Q405" s="197">
        <v>0</v>
      </c>
      <c r="R405" s="197">
        <v>0</v>
      </c>
      <c r="S405" s="197">
        <v>0</v>
      </c>
      <c r="T405" s="197">
        <f t="shared" si="47"/>
        <v>3298</v>
      </c>
      <c r="U405" s="225">
        <v>3298</v>
      </c>
      <c r="V405" s="110">
        <v>0</v>
      </c>
      <c r="W405" s="110">
        <v>0</v>
      </c>
      <c r="X405" s="110">
        <v>0</v>
      </c>
      <c r="Y405" s="110">
        <v>0</v>
      </c>
      <c r="Z405" s="110">
        <v>0</v>
      </c>
      <c r="AA405" s="110">
        <v>0</v>
      </c>
      <c r="AB405" s="110">
        <v>0</v>
      </c>
      <c r="AC405" s="110">
        <v>0</v>
      </c>
      <c r="AD405" s="110">
        <v>0</v>
      </c>
      <c r="AE405" s="110">
        <f t="shared" si="48"/>
        <v>452</v>
      </c>
      <c r="AF405" s="198">
        <v>1.7335</v>
      </c>
      <c r="AG405" s="198">
        <v>3.3</v>
      </c>
      <c r="AH405" s="213">
        <v>2870</v>
      </c>
      <c r="AI405" s="213">
        <v>1559</v>
      </c>
      <c r="AJ405" s="196" t="s">
        <v>92</v>
      </c>
      <c r="AK405" s="215" t="s">
        <v>70</v>
      </c>
      <c r="AL405" s="215" t="s">
        <v>70</v>
      </c>
      <c r="AM405" s="202" t="s">
        <v>914</v>
      </c>
      <c r="AN405" s="202" t="s">
        <v>914</v>
      </c>
      <c r="AO405" s="107"/>
      <c r="AP405" s="202"/>
      <c r="AQ405" s="107"/>
      <c r="AR405" s="202">
        <v>45981</v>
      </c>
      <c r="AS405" s="202">
        <v>44685</v>
      </c>
      <c r="AT405" s="202"/>
      <c r="AU405" s="218">
        <v>45320</v>
      </c>
      <c r="AV405" s="218" t="s">
        <v>82</v>
      </c>
      <c r="AW405" s="196"/>
      <c r="AX405" s="202">
        <v>45489</v>
      </c>
      <c r="AY405" s="107"/>
      <c r="AZ405" s="202"/>
      <c r="BA405" s="202"/>
      <c r="BB405" s="202"/>
      <c r="BC405" s="202"/>
      <c r="BD405" s="202"/>
      <c r="BE405" s="202"/>
      <c r="BF405" s="202"/>
      <c r="BG405" s="332"/>
      <c r="BH405" s="285" t="s">
        <v>1571</v>
      </c>
    </row>
    <row r="406" spans="1:60" s="61" customFormat="1" ht="20.100000000000001" customHeight="1">
      <c r="A406" s="195">
        <v>401</v>
      </c>
      <c r="B406" s="196" t="s">
        <v>974</v>
      </c>
      <c r="C406" s="65" t="s">
        <v>68</v>
      </c>
      <c r="D406" s="65" t="s">
        <v>73</v>
      </c>
      <c r="E406" s="65" t="s">
        <v>995</v>
      </c>
      <c r="F406" s="211" t="s">
        <v>996</v>
      </c>
      <c r="G406" s="110">
        <v>67737.899999999994</v>
      </c>
      <c r="H406" s="215" t="s">
        <v>782</v>
      </c>
      <c r="I406" s="208">
        <v>31</v>
      </c>
      <c r="J406" s="208">
        <v>1080</v>
      </c>
      <c r="K406" s="208">
        <v>430</v>
      </c>
      <c r="L406" s="208">
        <v>650</v>
      </c>
      <c r="M406" s="208"/>
      <c r="N406" s="208"/>
      <c r="O406" s="208"/>
      <c r="P406" s="197">
        <v>1490</v>
      </c>
      <c r="Q406" s="197">
        <v>1083</v>
      </c>
      <c r="R406" s="197">
        <v>407</v>
      </c>
      <c r="S406" s="197"/>
      <c r="T406" s="197">
        <f t="shared" si="47"/>
        <v>1883</v>
      </c>
      <c r="U406" s="110">
        <f>SUM(V406:Z406)</f>
        <v>1490</v>
      </c>
      <c r="V406" s="110"/>
      <c r="W406" s="110"/>
      <c r="X406" s="110">
        <v>1421</v>
      </c>
      <c r="Y406" s="110">
        <v>69</v>
      </c>
      <c r="Z406" s="110"/>
      <c r="AA406" s="110">
        <v>393</v>
      </c>
      <c r="AB406" s="110"/>
      <c r="AC406" s="110"/>
      <c r="AD406" s="110"/>
      <c r="AE406" s="110">
        <f t="shared" si="48"/>
        <v>803</v>
      </c>
      <c r="AF406" s="198">
        <v>0.85</v>
      </c>
      <c r="AG406" s="198">
        <v>2.6745999999999999</v>
      </c>
      <c r="AH406" s="213">
        <v>1123</v>
      </c>
      <c r="AI406" s="213">
        <v>1107</v>
      </c>
      <c r="AJ406" s="196" t="s">
        <v>92</v>
      </c>
      <c r="AK406" s="215">
        <v>2011</v>
      </c>
      <c r="AL406" s="215">
        <v>2025</v>
      </c>
      <c r="AM406" s="202" t="s">
        <v>914</v>
      </c>
      <c r="AN406" s="202" t="s">
        <v>914</v>
      </c>
      <c r="AO406" s="107">
        <v>40453</v>
      </c>
      <c r="AP406" s="107">
        <v>40687</v>
      </c>
      <c r="AQ406" s="107">
        <v>44932</v>
      </c>
      <c r="AR406" s="202">
        <v>41572</v>
      </c>
      <c r="AS406" s="202">
        <v>40115</v>
      </c>
      <c r="AT406" s="202"/>
      <c r="AU406" s="218">
        <v>40239</v>
      </c>
      <c r="AV406" s="218" t="s">
        <v>82</v>
      </c>
      <c r="AW406" s="196" t="s">
        <v>70</v>
      </c>
      <c r="AX406" s="202"/>
      <c r="AY406" s="202">
        <v>41572</v>
      </c>
      <c r="AZ406" s="202">
        <v>43629</v>
      </c>
      <c r="BA406" s="202">
        <v>44222</v>
      </c>
      <c r="BB406" s="202">
        <v>44820</v>
      </c>
      <c r="BC406" s="202">
        <v>45218</v>
      </c>
      <c r="BD406" s="202">
        <v>46038</v>
      </c>
      <c r="BE406" s="202"/>
      <c r="BF406" s="202"/>
      <c r="BG406" s="332"/>
      <c r="BH406" s="285" t="s">
        <v>1569</v>
      </c>
    </row>
    <row r="407" spans="1:60" s="61" customFormat="1" ht="20.100000000000001" customHeight="1">
      <c r="A407" s="195">
        <v>402</v>
      </c>
      <c r="B407" s="196" t="s">
        <v>974</v>
      </c>
      <c r="C407" s="65" t="s">
        <v>68</v>
      </c>
      <c r="D407" s="65" t="s">
        <v>73</v>
      </c>
      <c r="E407" s="65" t="s">
        <v>997</v>
      </c>
      <c r="F407" s="211" t="s">
        <v>998</v>
      </c>
      <c r="G407" s="110">
        <v>173856.3</v>
      </c>
      <c r="H407" s="215" t="s">
        <v>782</v>
      </c>
      <c r="I407" s="208">
        <v>77</v>
      </c>
      <c r="J407" s="208">
        <v>2064</v>
      </c>
      <c r="K407" s="208">
        <v>310</v>
      </c>
      <c r="L407" s="208">
        <v>910</v>
      </c>
      <c r="M407" s="208">
        <v>640</v>
      </c>
      <c r="N407" s="208">
        <v>204</v>
      </c>
      <c r="O407" s="208"/>
      <c r="P407" s="197">
        <v>3804</v>
      </c>
      <c r="Q407" s="197">
        <v>2057</v>
      </c>
      <c r="R407" s="197">
        <v>1655</v>
      </c>
      <c r="S407" s="197">
        <v>92</v>
      </c>
      <c r="T407" s="197">
        <f t="shared" si="47"/>
        <v>3804</v>
      </c>
      <c r="U407" s="208">
        <v>3712</v>
      </c>
      <c r="V407" s="208"/>
      <c r="W407" s="208">
        <v>1922</v>
      </c>
      <c r="X407" s="208">
        <v>1370</v>
      </c>
      <c r="Y407" s="110">
        <v>420</v>
      </c>
      <c r="Z407" s="110"/>
      <c r="AA407" s="110">
        <f>SUM(AB407:AD407)</f>
        <v>92</v>
      </c>
      <c r="AB407" s="110"/>
      <c r="AC407" s="110">
        <v>92</v>
      </c>
      <c r="AD407" s="110"/>
      <c r="AE407" s="110">
        <f t="shared" si="48"/>
        <v>1740</v>
      </c>
      <c r="AF407" s="198">
        <v>0.77</v>
      </c>
      <c r="AG407" s="198">
        <v>2.8</v>
      </c>
      <c r="AH407" s="213">
        <v>2094</v>
      </c>
      <c r="AI407" s="213">
        <v>2051</v>
      </c>
      <c r="AJ407" s="196" t="s">
        <v>92</v>
      </c>
      <c r="AK407" s="215" t="s">
        <v>151</v>
      </c>
      <c r="AL407" s="215">
        <v>2025</v>
      </c>
      <c r="AM407" s="202" t="s">
        <v>914</v>
      </c>
      <c r="AN407" s="202" t="s">
        <v>914</v>
      </c>
      <c r="AO407" s="200">
        <v>40386</v>
      </c>
      <c r="AP407" s="107">
        <v>40687</v>
      </c>
      <c r="AQ407" s="107">
        <v>43553</v>
      </c>
      <c r="AR407" s="107">
        <v>37994</v>
      </c>
      <c r="AS407" s="202">
        <v>40092</v>
      </c>
      <c r="AT407" s="202"/>
      <c r="AU407" s="218">
        <v>40203</v>
      </c>
      <c r="AV407" s="218" t="s">
        <v>82</v>
      </c>
      <c r="AW407" s="204" t="s">
        <v>70</v>
      </c>
      <c r="AX407" s="202"/>
      <c r="AY407" s="202">
        <v>41724</v>
      </c>
      <c r="AZ407" s="202">
        <v>43462</v>
      </c>
      <c r="BA407" s="202">
        <v>44027</v>
      </c>
      <c r="BB407" s="202">
        <v>44560</v>
      </c>
      <c r="BC407" s="202">
        <v>44910</v>
      </c>
      <c r="BD407" s="202">
        <v>45807</v>
      </c>
      <c r="BE407" s="202"/>
      <c r="BF407" s="202"/>
      <c r="BG407" s="332"/>
      <c r="BH407" s="285" t="s">
        <v>1569</v>
      </c>
    </row>
    <row r="408" spans="1:60" s="61" customFormat="1" ht="20.100000000000001" customHeight="1">
      <c r="A408" s="195">
        <v>403</v>
      </c>
      <c r="B408" s="196" t="s">
        <v>974</v>
      </c>
      <c r="C408" s="65" t="s">
        <v>68</v>
      </c>
      <c r="D408" s="65" t="s">
        <v>85</v>
      </c>
      <c r="E408" s="65" t="s">
        <v>999</v>
      </c>
      <c r="F408" s="211" t="s">
        <v>1000</v>
      </c>
      <c r="G408" s="208">
        <v>32650</v>
      </c>
      <c r="H408" s="215" t="s">
        <v>779</v>
      </c>
      <c r="I408" s="110">
        <v>116</v>
      </c>
      <c r="J408" s="110">
        <f t="shared" ref="J408:J417" si="49">SUM(K408:O408)</f>
        <v>517</v>
      </c>
      <c r="K408" s="110">
        <v>48</v>
      </c>
      <c r="L408" s="110">
        <v>153</v>
      </c>
      <c r="M408" s="110">
        <v>223</v>
      </c>
      <c r="N408" s="110">
        <v>93</v>
      </c>
      <c r="O408" s="110"/>
      <c r="P408" s="197">
        <f t="shared" ref="P408:P417" si="50">SUM(Q408:S408)</f>
        <v>900</v>
      </c>
      <c r="Q408" s="197">
        <v>531</v>
      </c>
      <c r="R408" s="197">
        <v>369</v>
      </c>
      <c r="S408" s="197"/>
      <c r="T408" s="197">
        <f t="shared" si="47"/>
        <v>900</v>
      </c>
      <c r="U408" s="110">
        <f t="shared" ref="U408:U419" si="51">SUM(V408:Z408)</f>
        <v>900</v>
      </c>
      <c r="V408" s="208"/>
      <c r="W408" s="208">
        <v>356</v>
      </c>
      <c r="X408" s="208">
        <v>364</v>
      </c>
      <c r="Y408" s="208">
        <v>180</v>
      </c>
      <c r="Z408" s="208"/>
      <c r="AA408" s="110"/>
      <c r="AB408" s="208"/>
      <c r="AC408" s="208"/>
      <c r="AD408" s="208"/>
      <c r="AE408" s="110">
        <f t="shared" si="48"/>
        <v>383</v>
      </c>
      <c r="AF408" s="198">
        <v>1.1377999999999999</v>
      </c>
      <c r="AG408" s="198">
        <v>2.92</v>
      </c>
      <c r="AH408" s="199">
        <v>563</v>
      </c>
      <c r="AI408" s="213">
        <v>531</v>
      </c>
      <c r="AJ408" s="65" t="s">
        <v>92</v>
      </c>
      <c r="AK408" s="215" t="s">
        <v>1001</v>
      </c>
      <c r="AL408" s="215" t="s">
        <v>770</v>
      </c>
      <c r="AM408" s="202" t="s">
        <v>914</v>
      </c>
      <c r="AN408" s="202"/>
      <c r="AO408" s="202"/>
      <c r="AP408" s="107">
        <v>36691</v>
      </c>
      <c r="AQ408" s="107">
        <v>39139</v>
      </c>
      <c r="AR408" s="107"/>
      <c r="AS408" s="202"/>
      <c r="AT408" s="202"/>
      <c r="AU408" s="218"/>
      <c r="AV408" s="218" t="s">
        <v>70</v>
      </c>
      <c r="AW408" s="204" t="s">
        <v>70</v>
      </c>
      <c r="AX408" s="202"/>
      <c r="AY408" s="202">
        <v>37155</v>
      </c>
      <c r="AZ408" s="202">
        <v>37747</v>
      </c>
      <c r="BA408" s="202">
        <v>38002</v>
      </c>
      <c r="BB408" s="202">
        <v>38232</v>
      </c>
      <c r="BC408" s="202">
        <v>38273</v>
      </c>
      <c r="BD408" s="202">
        <v>39170</v>
      </c>
      <c r="BE408" s="202">
        <v>39260</v>
      </c>
      <c r="BF408" s="202"/>
      <c r="BG408" s="332"/>
      <c r="BH408" s="285" t="s">
        <v>1569</v>
      </c>
    </row>
    <row r="409" spans="1:60" s="76" customFormat="1" ht="20.100000000000001" customHeight="1">
      <c r="A409" s="195">
        <v>404</v>
      </c>
      <c r="B409" s="196" t="s">
        <v>974</v>
      </c>
      <c r="C409" s="65" t="s">
        <v>68</v>
      </c>
      <c r="D409" s="65" t="s">
        <v>73</v>
      </c>
      <c r="E409" s="65" t="s">
        <v>1002</v>
      </c>
      <c r="F409" s="65" t="s">
        <v>1003</v>
      </c>
      <c r="G409" s="110">
        <v>73577</v>
      </c>
      <c r="H409" s="196">
        <v>1981</v>
      </c>
      <c r="I409" s="110">
        <v>241</v>
      </c>
      <c r="J409" s="110">
        <f t="shared" si="49"/>
        <v>241</v>
      </c>
      <c r="K409" s="110">
        <v>6</v>
      </c>
      <c r="L409" s="110">
        <v>23</v>
      </c>
      <c r="M409" s="110">
        <v>59</v>
      </c>
      <c r="N409" s="110">
        <v>97</v>
      </c>
      <c r="O409" s="110">
        <v>56</v>
      </c>
      <c r="P409" s="197">
        <f t="shared" si="50"/>
        <v>1267</v>
      </c>
      <c r="Q409" s="197">
        <v>812</v>
      </c>
      <c r="R409" s="197">
        <v>343</v>
      </c>
      <c r="S409" s="197">
        <v>112</v>
      </c>
      <c r="T409" s="197">
        <f t="shared" si="47"/>
        <v>1267</v>
      </c>
      <c r="U409" s="110">
        <f t="shared" si="51"/>
        <v>1155</v>
      </c>
      <c r="V409" s="110"/>
      <c r="W409" s="110">
        <v>142</v>
      </c>
      <c r="X409" s="110">
        <v>566</v>
      </c>
      <c r="Y409" s="110">
        <v>263</v>
      </c>
      <c r="Z409" s="110">
        <v>184</v>
      </c>
      <c r="AA409" s="110">
        <f>SUM(AB409:AD409)</f>
        <v>112</v>
      </c>
      <c r="AB409" s="110"/>
      <c r="AC409" s="110">
        <v>112</v>
      </c>
      <c r="AD409" s="110"/>
      <c r="AE409" s="110">
        <f t="shared" si="48"/>
        <v>1026</v>
      </c>
      <c r="AF409" s="198">
        <v>1.6</v>
      </c>
      <c r="AG409" s="198">
        <v>2.64</v>
      </c>
      <c r="AH409" s="199">
        <v>1023</v>
      </c>
      <c r="AI409" s="199">
        <v>907</v>
      </c>
      <c r="AJ409" s="196" t="s">
        <v>92</v>
      </c>
      <c r="AK409" s="196">
        <v>2006</v>
      </c>
      <c r="AL409" s="196">
        <v>2015</v>
      </c>
      <c r="AM409" s="200" t="s">
        <v>914</v>
      </c>
      <c r="AN409" s="200"/>
      <c r="AO409" s="200"/>
      <c r="AP409" s="107">
        <v>38733</v>
      </c>
      <c r="AQ409" s="107"/>
      <c r="AR409" s="107"/>
      <c r="AS409" s="107">
        <v>36697</v>
      </c>
      <c r="AT409" s="107"/>
      <c r="AU409" s="218">
        <v>37240</v>
      </c>
      <c r="AV409" s="218" t="s">
        <v>70</v>
      </c>
      <c r="AW409" s="204" t="s">
        <v>70</v>
      </c>
      <c r="AX409" s="107"/>
      <c r="AY409" s="107">
        <v>36614</v>
      </c>
      <c r="AZ409" s="107">
        <v>38898</v>
      </c>
      <c r="BA409" s="107">
        <v>39009</v>
      </c>
      <c r="BB409" s="107">
        <v>39787</v>
      </c>
      <c r="BC409" s="107">
        <v>40895</v>
      </c>
      <c r="BD409" s="107">
        <v>42248</v>
      </c>
      <c r="BE409" s="107">
        <v>42389</v>
      </c>
      <c r="BF409" s="107"/>
      <c r="BG409" s="321"/>
      <c r="BH409" s="285" t="s">
        <v>1569</v>
      </c>
    </row>
    <row r="410" spans="1:60" s="61" customFormat="1" ht="20.100000000000001" customHeight="1">
      <c r="A410" s="195">
        <v>405</v>
      </c>
      <c r="B410" s="196" t="s">
        <v>974</v>
      </c>
      <c r="C410" s="65" t="s">
        <v>68</v>
      </c>
      <c r="D410" s="65" t="s">
        <v>73</v>
      </c>
      <c r="E410" s="65" t="s">
        <v>1004</v>
      </c>
      <c r="F410" s="65" t="s">
        <v>1005</v>
      </c>
      <c r="G410" s="110">
        <v>19983</v>
      </c>
      <c r="H410" s="196">
        <v>1981</v>
      </c>
      <c r="I410" s="110">
        <v>35</v>
      </c>
      <c r="J410" s="110">
        <f t="shared" si="49"/>
        <v>273</v>
      </c>
      <c r="K410" s="110">
        <v>273</v>
      </c>
      <c r="L410" s="110"/>
      <c r="M410" s="110"/>
      <c r="N410" s="110"/>
      <c r="O410" s="110"/>
      <c r="P410" s="197">
        <f t="shared" si="50"/>
        <v>577</v>
      </c>
      <c r="Q410" s="197">
        <v>264</v>
      </c>
      <c r="R410" s="197">
        <v>313</v>
      </c>
      <c r="S410" s="197"/>
      <c r="T410" s="197">
        <f t="shared" si="47"/>
        <v>577</v>
      </c>
      <c r="U410" s="110">
        <f t="shared" si="51"/>
        <v>577</v>
      </c>
      <c r="V410" s="110"/>
      <c r="W410" s="110">
        <v>126</v>
      </c>
      <c r="X410" s="110">
        <v>451</v>
      </c>
      <c r="Y410" s="110"/>
      <c r="Z410" s="110"/>
      <c r="AA410" s="110"/>
      <c r="AB410" s="110"/>
      <c r="AC410" s="110"/>
      <c r="AD410" s="110"/>
      <c r="AE410" s="110">
        <f t="shared" si="48"/>
        <v>304</v>
      </c>
      <c r="AF410" s="198">
        <v>1.67</v>
      </c>
      <c r="AG410" s="198">
        <v>2.97</v>
      </c>
      <c r="AH410" s="199">
        <v>273</v>
      </c>
      <c r="AI410" s="199">
        <v>264</v>
      </c>
      <c r="AJ410" s="196" t="s">
        <v>92</v>
      </c>
      <c r="AK410" s="196">
        <v>2004</v>
      </c>
      <c r="AL410" s="196">
        <v>2007</v>
      </c>
      <c r="AM410" s="200" t="s">
        <v>914</v>
      </c>
      <c r="AN410" s="200"/>
      <c r="AO410" s="200"/>
      <c r="AP410" s="107">
        <v>38152</v>
      </c>
      <c r="AQ410" s="107"/>
      <c r="AR410" s="107"/>
      <c r="AS410" s="107"/>
      <c r="AT410" s="107"/>
      <c r="AU410" s="218"/>
      <c r="AV410" s="218" t="s">
        <v>70</v>
      </c>
      <c r="AW410" s="204" t="s">
        <v>70</v>
      </c>
      <c r="AX410" s="107"/>
      <c r="AY410" s="107">
        <v>35334</v>
      </c>
      <c r="AZ410" s="107">
        <v>37798</v>
      </c>
      <c r="BA410" s="107"/>
      <c r="BB410" s="107">
        <v>38222</v>
      </c>
      <c r="BC410" s="107">
        <v>38218</v>
      </c>
      <c r="BD410" s="107">
        <v>39198</v>
      </c>
      <c r="BE410" s="107"/>
      <c r="BF410" s="107"/>
      <c r="BG410" s="321"/>
      <c r="BH410" s="285" t="s">
        <v>1569</v>
      </c>
    </row>
    <row r="411" spans="1:60" s="61" customFormat="1" ht="20.100000000000001" customHeight="1">
      <c r="A411" s="195">
        <v>406</v>
      </c>
      <c r="B411" s="196" t="s">
        <v>974</v>
      </c>
      <c r="C411" s="65" t="s">
        <v>68</v>
      </c>
      <c r="D411" s="65" t="s">
        <v>73</v>
      </c>
      <c r="E411" s="65" t="s">
        <v>1006</v>
      </c>
      <c r="F411" s="65" t="s">
        <v>1007</v>
      </c>
      <c r="G411" s="110">
        <v>58711.4</v>
      </c>
      <c r="H411" s="196">
        <v>1980</v>
      </c>
      <c r="I411" s="110">
        <v>24</v>
      </c>
      <c r="J411" s="110">
        <f t="shared" si="49"/>
        <v>1000</v>
      </c>
      <c r="K411" s="110">
        <v>1000</v>
      </c>
      <c r="L411" s="110"/>
      <c r="M411" s="110"/>
      <c r="N411" s="110"/>
      <c r="O411" s="110"/>
      <c r="P411" s="197">
        <f t="shared" si="50"/>
        <v>1264</v>
      </c>
      <c r="Q411" s="197">
        <v>1027</v>
      </c>
      <c r="R411" s="197">
        <v>237</v>
      </c>
      <c r="S411" s="197"/>
      <c r="T411" s="197">
        <f t="shared" si="47"/>
        <v>1264</v>
      </c>
      <c r="U411" s="110">
        <f t="shared" si="51"/>
        <v>1264</v>
      </c>
      <c r="V411" s="110"/>
      <c r="W411" s="110">
        <v>286</v>
      </c>
      <c r="X411" s="110">
        <v>584</v>
      </c>
      <c r="Y411" s="110">
        <v>334</v>
      </c>
      <c r="Z411" s="110">
        <v>60</v>
      </c>
      <c r="AA411" s="110"/>
      <c r="AB411" s="110"/>
      <c r="AC411" s="110"/>
      <c r="AD411" s="110"/>
      <c r="AE411" s="110">
        <f t="shared" si="48"/>
        <v>264</v>
      </c>
      <c r="AF411" s="198">
        <v>0.8</v>
      </c>
      <c r="AG411" s="198">
        <v>2.54</v>
      </c>
      <c r="AH411" s="199">
        <v>1004</v>
      </c>
      <c r="AI411" s="199">
        <v>1004</v>
      </c>
      <c r="AJ411" s="196" t="s">
        <v>92</v>
      </c>
      <c r="AK411" s="196">
        <v>2006</v>
      </c>
      <c r="AL411" s="196">
        <v>2009</v>
      </c>
      <c r="AM411" s="200" t="s">
        <v>914</v>
      </c>
      <c r="AN411" s="200"/>
      <c r="AO411" s="200"/>
      <c r="AP411" s="107">
        <v>38439</v>
      </c>
      <c r="AQ411" s="107"/>
      <c r="AR411" s="107"/>
      <c r="AS411" s="107">
        <v>37411</v>
      </c>
      <c r="AT411" s="107"/>
      <c r="AU411" s="218">
        <v>37732</v>
      </c>
      <c r="AV411" s="218" t="s">
        <v>70</v>
      </c>
      <c r="AW411" s="204" t="s">
        <v>70</v>
      </c>
      <c r="AX411" s="107"/>
      <c r="AY411" s="107">
        <v>37437</v>
      </c>
      <c r="AZ411" s="107">
        <v>38488</v>
      </c>
      <c r="BA411" s="107">
        <v>38714</v>
      </c>
      <c r="BB411" s="107">
        <v>39111</v>
      </c>
      <c r="BC411" s="107">
        <v>40151</v>
      </c>
      <c r="BD411" s="107">
        <v>40227</v>
      </c>
      <c r="BE411" s="107">
        <v>40730</v>
      </c>
      <c r="BF411" s="107"/>
      <c r="BG411" s="321"/>
      <c r="BH411" s="285" t="s">
        <v>1569</v>
      </c>
    </row>
    <row r="412" spans="1:60" s="61" customFormat="1" ht="20.100000000000001" customHeight="1">
      <c r="A412" s="195">
        <v>407</v>
      </c>
      <c r="B412" s="196" t="s">
        <v>974</v>
      </c>
      <c r="C412" s="65" t="s">
        <v>68</v>
      </c>
      <c r="D412" s="65" t="s">
        <v>73</v>
      </c>
      <c r="E412" s="65" t="s">
        <v>1008</v>
      </c>
      <c r="F412" s="65" t="s">
        <v>1009</v>
      </c>
      <c r="G412" s="110">
        <v>96199.6</v>
      </c>
      <c r="H412" s="196">
        <v>1981</v>
      </c>
      <c r="I412" s="110">
        <v>38</v>
      </c>
      <c r="J412" s="110">
        <f t="shared" si="49"/>
        <v>1900</v>
      </c>
      <c r="K412" s="110">
        <v>1900</v>
      </c>
      <c r="L412" s="110"/>
      <c r="M412" s="110"/>
      <c r="N412" s="110"/>
      <c r="O412" s="110"/>
      <c r="P412" s="197">
        <f t="shared" si="50"/>
        <v>2072</v>
      </c>
      <c r="Q412" s="197">
        <v>1887</v>
      </c>
      <c r="R412" s="197">
        <v>185</v>
      </c>
      <c r="S412" s="197"/>
      <c r="T412" s="197">
        <f t="shared" si="47"/>
        <v>2072</v>
      </c>
      <c r="U412" s="110">
        <f t="shared" si="51"/>
        <v>2072</v>
      </c>
      <c r="V412" s="110"/>
      <c r="W412" s="110">
        <v>513</v>
      </c>
      <c r="X412" s="110">
        <v>1046</v>
      </c>
      <c r="Y412" s="110">
        <v>405</v>
      </c>
      <c r="Z412" s="110">
        <v>108</v>
      </c>
      <c r="AA412" s="110"/>
      <c r="AB412" s="110"/>
      <c r="AC412" s="110"/>
      <c r="AD412" s="110"/>
      <c r="AE412" s="110">
        <f t="shared" si="48"/>
        <v>172</v>
      </c>
      <c r="AF412" s="198">
        <v>0.8</v>
      </c>
      <c r="AG412" s="198">
        <v>2.4900000000000002</v>
      </c>
      <c r="AH412" s="199">
        <v>1900</v>
      </c>
      <c r="AI412" s="199">
        <v>1899</v>
      </c>
      <c r="AJ412" s="196" t="s">
        <v>92</v>
      </c>
      <c r="AK412" s="196">
        <v>2006</v>
      </c>
      <c r="AL412" s="196">
        <v>2009</v>
      </c>
      <c r="AM412" s="200" t="s">
        <v>914</v>
      </c>
      <c r="AN412" s="200"/>
      <c r="AO412" s="200"/>
      <c r="AP412" s="107">
        <v>38439</v>
      </c>
      <c r="AQ412" s="107"/>
      <c r="AR412" s="107"/>
      <c r="AS412" s="107">
        <v>37223</v>
      </c>
      <c r="AT412" s="107"/>
      <c r="AU412" s="218">
        <v>37309</v>
      </c>
      <c r="AV412" s="218" t="s">
        <v>70</v>
      </c>
      <c r="AW412" s="204" t="s">
        <v>70</v>
      </c>
      <c r="AX412" s="107"/>
      <c r="AY412" s="107">
        <v>37495</v>
      </c>
      <c r="AZ412" s="107">
        <v>38488</v>
      </c>
      <c r="BA412" s="107">
        <v>38707</v>
      </c>
      <c r="BB412" s="107">
        <v>39077</v>
      </c>
      <c r="BC412" s="107">
        <v>40175</v>
      </c>
      <c r="BD412" s="107">
        <v>40143</v>
      </c>
      <c r="BE412" s="107">
        <v>40690</v>
      </c>
      <c r="BF412" s="107"/>
      <c r="BG412" s="321"/>
      <c r="BH412" s="285" t="s">
        <v>1569</v>
      </c>
    </row>
    <row r="413" spans="1:60" s="61" customFormat="1" ht="20.100000000000001" customHeight="1">
      <c r="A413" s="195">
        <v>408</v>
      </c>
      <c r="B413" s="196" t="s">
        <v>974</v>
      </c>
      <c r="C413" s="65" t="s">
        <v>68</v>
      </c>
      <c r="D413" s="65" t="s">
        <v>73</v>
      </c>
      <c r="E413" s="65" t="s">
        <v>1010</v>
      </c>
      <c r="F413" s="65" t="s">
        <v>1011</v>
      </c>
      <c r="G413" s="110">
        <v>132500.4</v>
      </c>
      <c r="H413" s="196">
        <v>1982</v>
      </c>
      <c r="I413" s="110">
        <v>57</v>
      </c>
      <c r="J413" s="110">
        <f t="shared" si="49"/>
        <v>2440</v>
      </c>
      <c r="K413" s="110">
        <v>2440</v>
      </c>
      <c r="L413" s="110"/>
      <c r="M413" s="110"/>
      <c r="N413" s="110"/>
      <c r="O413" s="110"/>
      <c r="P413" s="197">
        <f t="shared" si="50"/>
        <v>2815</v>
      </c>
      <c r="Q413" s="197">
        <v>2387</v>
      </c>
      <c r="R413" s="197">
        <v>428</v>
      </c>
      <c r="S413" s="197"/>
      <c r="T413" s="197">
        <f t="shared" si="47"/>
        <v>2815</v>
      </c>
      <c r="U413" s="110">
        <f t="shared" si="51"/>
        <v>2815</v>
      </c>
      <c r="V413" s="110"/>
      <c r="W413" s="110">
        <v>596</v>
      </c>
      <c r="X413" s="110">
        <v>1492</v>
      </c>
      <c r="Y413" s="110">
        <v>674</v>
      </c>
      <c r="Z413" s="110">
        <v>53</v>
      </c>
      <c r="AA413" s="110"/>
      <c r="AB413" s="110"/>
      <c r="AC413" s="110"/>
      <c r="AD413" s="110"/>
      <c r="AE413" s="110">
        <f t="shared" si="48"/>
        <v>375</v>
      </c>
      <c r="AF413" s="198">
        <v>0.8</v>
      </c>
      <c r="AG413" s="198">
        <v>2.5099999999999998</v>
      </c>
      <c r="AH413" s="199">
        <v>2440</v>
      </c>
      <c r="AI413" s="199">
        <v>2382</v>
      </c>
      <c r="AJ413" s="196" t="s">
        <v>92</v>
      </c>
      <c r="AK413" s="196">
        <v>2006</v>
      </c>
      <c r="AL413" s="196">
        <v>2010</v>
      </c>
      <c r="AM413" s="200" t="s">
        <v>914</v>
      </c>
      <c r="AN413" s="200"/>
      <c r="AO413" s="200"/>
      <c r="AP413" s="107">
        <v>38439</v>
      </c>
      <c r="AQ413" s="107"/>
      <c r="AR413" s="107"/>
      <c r="AS413" s="107">
        <v>37235</v>
      </c>
      <c r="AT413" s="107"/>
      <c r="AU413" s="218">
        <v>37336</v>
      </c>
      <c r="AV413" s="218" t="s">
        <v>70</v>
      </c>
      <c r="AW413" s="204" t="s">
        <v>70</v>
      </c>
      <c r="AX413" s="107"/>
      <c r="AY413" s="107">
        <v>37522</v>
      </c>
      <c r="AZ413" s="107">
        <v>38488</v>
      </c>
      <c r="BA413" s="107">
        <v>38714</v>
      </c>
      <c r="BB413" s="107">
        <v>39049</v>
      </c>
      <c r="BC413" s="107">
        <v>40094</v>
      </c>
      <c r="BD413" s="107">
        <v>40192</v>
      </c>
      <c r="BE413" s="107">
        <v>40323</v>
      </c>
      <c r="BF413" s="107"/>
      <c r="BG413" s="321"/>
      <c r="BH413" s="285" t="s">
        <v>1569</v>
      </c>
    </row>
    <row r="414" spans="1:60" s="61" customFormat="1" ht="20.100000000000001" customHeight="1">
      <c r="A414" s="195">
        <v>409</v>
      </c>
      <c r="B414" s="196" t="s">
        <v>974</v>
      </c>
      <c r="C414" s="65" t="s">
        <v>68</v>
      </c>
      <c r="D414" s="65" t="s">
        <v>73</v>
      </c>
      <c r="E414" s="65" t="s">
        <v>1012</v>
      </c>
      <c r="F414" s="65" t="s">
        <v>1013</v>
      </c>
      <c r="G414" s="110">
        <v>63743.6</v>
      </c>
      <c r="H414" s="196">
        <v>1982</v>
      </c>
      <c r="I414" s="110">
        <v>42</v>
      </c>
      <c r="J414" s="110">
        <f t="shared" si="49"/>
        <v>940</v>
      </c>
      <c r="K414" s="110">
        <v>940</v>
      </c>
      <c r="L414" s="110"/>
      <c r="M414" s="110"/>
      <c r="N414" s="110"/>
      <c r="O414" s="110"/>
      <c r="P414" s="197">
        <f t="shared" si="50"/>
        <v>1248</v>
      </c>
      <c r="Q414" s="197">
        <v>948</v>
      </c>
      <c r="R414" s="197">
        <v>300</v>
      </c>
      <c r="S414" s="197"/>
      <c r="T414" s="197">
        <f t="shared" si="47"/>
        <v>1248</v>
      </c>
      <c r="U414" s="110">
        <f t="shared" si="51"/>
        <v>1248</v>
      </c>
      <c r="V414" s="110"/>
      <c r="W414" s="110">
        <v>250</v>
      </c>
      <c r="X414" s="110">
        <v>556</v>
      </c>
      <c r="Y414" s="110">
        <v>336</v>
      </c>
      <c r="Z414" s="110">
        <v>106</v>
      </c>
      <c r="AA414" s="110"/>
      <c r="AB414" s="110"/>
      <c r="AC414" s="110"/>
      <c r="AD414" s="110"/>
      <c r="AE414" s="110">
        <f t="shared" si="48"/>
        <v>308</v>
      </c>
      <c r="AF414" s="198">
        <v>0.8</v>
      </c>
      <c r="AG414" s="198">
        <v>2.4500000000000002</v>
      </c>
      <c r="AH414" s="199">
        <v>962</v>
      </c>
      <c r="AI414" s="199">
        <v>962</v>
      </c>
      <c r="AJ414" s="196" t="s">
        <v>92</v>
      </c>
      <c r="AK414" s="196">
        <v>2006</v>
      </c>
      <c r="AL414" s="196">
        <v>2009</v>
      </c>
      <c r="AM414" s="200" t="s">
        <v>914</v>
      </c>
      <c r="AN414" s="200"/>
      <c r="AO414" s="200"/>
      <c r="AP414" s="107">
        <v>38439</v>
      </c>
      <c r="AQ414" s="107"/>
      <c r="AR414" s="107"/>
      <c r="AS414" s="107">
        <v>37308</v>
      </c>
      <c r="AT414" s="107"/>
      <c r="AU414" s="218">
        <v>37406</v>
      </c>
      <c r="AV414" s="218" t="s">
        <v>70</v>
      </c>
      <c r="AW414" s="204" t="s">
        <v>70</v>
      </c>
      <c r="AX414" s="107"/>
      <c r="AY414" s="107">
        <v>37495</v>
      </c>
      <c r="AZ414" s="107">
        <v>38488</v>
      </c>
      <c r="BA414" s="107">
        <v>38708</v>
      </c>
      <c r="BB414" s="107">
        <v>39051</v>
      </c>
      <c r="BC414" s="107">
        <v>40029</v>
      </c>
      <c r="BD414" s="107">
        <v>40119</v>
      </c>
      <c r="BE414" s="107">
        <v>40291</v>
      </c>
      <c r="BF414" s="107"/>
      <c r="BG414" s="321"/>
      <c r="BH414" s="285" t="s">
        <v>1569</v>
      </c>
    </row>
    <row r="415" spans="1:60" s="61" customFormat="1" ht="20.100000000000001" customHeight="1">
      <c r="A415" s="195">
        <v>410</v>
      </c>
      <c r="B415" s="196" t="s">
        <v>974</v>
      </c>
      <c r="C415" s="65" t="s">
        <v>68</v>
      </c>
      <c r="D415" s="65" t="s">
        <v>112</v>
      </c>
      <c r="E415" s="65" t="s">
        <v>1014</v>
      </c>
      <c r="F415" s="65" t="s">
        <v>1015</v>
      </c>
      <c r="G415" s="110">
        <v>78673</v>
      </c>
      <c r="H415" s="196">
        <v>1991</v>
      </c>
      <c r="I415" s="110">
        <v>380</v>
      </c>
      <c r="J415" s="110">
        <f t="shared" si="49"/>
        <v>1952</v>
      </c>
      <c r="K415" s="110">
        <v>148</v>
      </c>
      <c r="L415" s="110">
        <v>1025</v>
      </c>
      <c r="M415" s="110">
        <v>576</v>
      </c>
      <c r="N415" s="110">
        <v>203</v>
      </c>
      <c r="O415" s="110"/>
      <c r="P415" s="197">
        <f t="shared" si="50"/>
        <v>2351</v>
      </c>
      <c r="Q415" s="197"/>
      <c r="R415" s="197">
        <v>1117</v>
      </c>
      <c r="S415" s="197">
        <v>1234</v>
      </c>
      <c r="T415" s="197">
        <f t="shared" si="47"/>
        <v>2351</v>
      </c>
      <c r="U415" s="110">
        <f t="shared" si="51"/>
        <v>1117</v>
      </c>
      <c r="V415" s="110"/>
      <c r="W415" s="110">
        <v>462</v>
      </c>
      <c r="X415" s="110">
        <v>541</v>
      </c>
      <c r="Y415" s="110">
        <v>114</v>
      </c>
      <c r="Z415" s="110"/>
      <c r="AA415" s="110">
        <f>SUM(AB415:AD415)</f>
        <v>1234</v>
      </c>
      <c r="AB415" s="110">
        <v>580</v>
      </c>
      <c r="AC415" s="110">
        <v>654</v>
      </c>
      <c r="AD415" s="110"/>
      <c r="AE415" s="110">
        <f t="shared" si="48"/>
        <v>399</v>
      </c>
      <c r="AF415" s="198" t="s">
        <v>965</v>
      </c>
      <c r="AG415" s="198">
        <v>2.75</v>
      </c>
      <c r="AH415" s="199">
        <v>1933</v>
      </c>
      <c r="AI415" s="199">
        <v>1933</v>
      </c>
      <c r="AJ415" s="234" t="s">
        <v>105</v>
      </c>
      <c r="AK415" s="196">
        <v>1996</v>
      </c>
      <c r="AL415" s="196">
        <v>2002</v>
      </c>
      <c r="AM415" s="202" t="s">
        <v>914</v>
      </c>
      <c r="AN415" s="202"/>
      <c r="AO415" s="202"/>
      <c r="AP415" s="107">
        <v>35098</v>
      </c>
      <c r="AQ415" s="107"/>
      <c r="AR415" s="107"/>
      <c r="AS415" s="107"/>
      <c r="AT415" s="107"/>
      <c r="AU415" s="218"/>
      <c r="AV415" s="218" t="s">
        <v>70</v>
      </c>
      <c r="AW415" s="204" t="s">
        <v>70</v>
      </c>
      <c r="AX415" s="107"/>
      <c r="AY415" s="107"/>
      <c r="AZ415" s="107">
        <v>35383</v>
      </c>
      <c r="BA415" s="107"/>
      <c r="BB415" s="107">
        <v>36035</v>
      </c>
      <c r="BC415" s="107">
        <v>37018</v>
      </c>
      <c r="BD415" s="107">
        <v>37400</v>
      </c>
      <c r="BE415" s="107"/>
      <c r="BF415" s="107"/>
      <c r="BG415" s="321"/>
      <c r="BH415" s="285" t="s">
        <v>1572</v>
      </c>
    </row>
    <row r="416" spans="1:60" s="61" customFormat="1" ht="20.100000000000001" customHeight="1">
      <c r="A416" s="195">
        <v>411</v>
      </c>
      <c r="B416" s="196" t="s">
        <v>974</v>
      </c>
      <c r="C416" s="65" t="s">
        <v>68</v>
      </c>
      <c r="D416" s="65" t="s">
        <v>112</v>
      </c>
      <c r="E416" s="65" t="s">
        <v>1016</v>
      </c>
      <c r="F416" s="65" t="s">
        <v>1017</v>
      </c>
      <c r="G416" s="110">
        <v>11480</v>
      </c>
      <c r="H416" s="196">
        <v>1996</v>
      </c>
      <c r="I416" s="110">
        <v>170</v>
      </c>
      <c r="J416" s="110">
        <f t="shared" si="49"/>
        <v>281</v>
      </c>
      <c r="K416" s="110"/>
      <c r="L416" s="110">
        <v>220</v>
      </c>
      <c r="M416" s="110">
        <v>61</v>
      </c>
      <c r="N416" s="110"/>
      <c r="O416" s="110"/>
      <c r="P416" s="197">
        <f t="shared" si="50"/>
        <v>401</v>
      </c>
      <c r="Q416" s="197"/>
      <c r="R416" s="197">
        <v>182</v>
      </c>
      <c r="S416" s="197">
        <v>219</v>
      </c>
      <c r="T416" s="197">
        <f t="shared" si="47"/>
        <v>401</v>
      </c>
      <c r="U416" s="110">
        <f t="shared" si="51"/>
        <v>182</v>
      </c>
      <c r="V416" s="110"/>
      <c r="W416" s="110">
        <v>92</v>
      </c>
      <c r="X416" s="110">
        <v>90</v>
      </c>
      <c r="Y416" s="110"/>
      <c r="Z416" s="110"/>
      <c r="AA416" s="110">
        <f>SUM(AB416:AD416)</f>
        <v>219</v>
      </c>
      <c r="AB416" s="110"/>
      <c r="AC416" s="110">
        <v>219</v>
      </c>
      <c r="AD416" s="110"/>
      <c r="AE416" s="110">
        <f t="shared" si="48"/>
        <v>120</v>
      </c>
      <c r="AF416" s="198" t="s">
        <v>965</v>
      </c>
      <c r="AG416" s="198">
        <v>2.84</v>
      </c>
      <c r="AH416" s="199">
        <v>278</v>
      </c>
      <c r="AI416" s="199">
        <v>278</v>
      </c>
      <c r="AJ416" s="234" t="s">
        <v>105</v>
      </c>
      <c r="AK416" s="196">
        <v>1997</v>
      </c>
      <c r="AL416" s="196">
        <v>2001</v>
      </c>
      <c r="AM416" s="202" t="s">
        <v>914</v>
      </c>
      <c r="AN416" s="202"/>
      <c r="AO416" s="202"/>
      <c r="AP416" s="107">
        <v>35242</v>
      </c>
      <c r="AQ416" s="107"/>
      <c r="AR416" s="107"/>
      <c r="AS416" s="107"/>
      <c r="AT416" s="107"/>
      <c r="AU416" s="218"/>
      <c r="AV416" s="218" t="s">
        <v>70</v>
      </c>
      <c r="AW416" s="204" t="s">
        <v>70</v>
      </c>
      <c r="AX416" s="107"/>
      <c r="AY416" s="107"/>
      <c r="AZ416" s="107">
        <v>35703</v>
      </c>
      <c r="BA416" s="107"/>
      <c r="BB416" s="107">
        <v>36265</v>
      </c>
      <c r="BC416" s="107">
        <v>36809</v>
      </c>
      <c r="BD416" s="107">
        <v>37179</v>
      </c>
      <c r="BE416" s="107"/>
      <c r="BF416" s="107"/>
      <c r="BG416" s="321"/>
      <c r="BH416" s="285" t="s">
        <v>1572</v>
      </c>
    </row>
    <row r="417" spans="1:60" s="61" customFormat="1" ht="20.100000000000001" customHeight="1">
      <c r="A417" s="195">
        <v>412</v>
      </c>
      <c r="B417" s="196" t="s">
        <v>974</v>
      </c>
      <c r="C417" s="65" t="s">
        <v>68</v>
      </c>
      <c r="D417" s="65" t="s">
        <v>112</v>
      </c>
      <c r="E417" s="65" t="s">
        <v>1018</v>
      </c>
      <c r="F417" s="65" t="s">
        <v>1019</v>
      </c>
      <c r="G417" s="110">
        <v>112120</v>
      </c>
      <c r="H417" s="196">
        <v>2001</v>
      </c>
      <c r="I417" s="110">
        <v>501</v>
      </c>
      <c r="J417" s="110">
        <f t="shared" si="49"/>
        <v>919</v>
      </c>
      <c r="K417" s="110">
        <v>23</v>
      </c>
      <c r="L417" s="110">
        <v>550</v>
      </c>
      <c r="M417" s="110">
        <v>346</v>
      </c>
      <c r="N417" s="110"/>
      <c r="O417" s="110"/>
      <c r="P417" s="197">
        <f t="shared" si="50"/>
        <v>1760</v>
      </c>
      <c r="Q417" s="197"/>
      <c r="R417" s="197">
        <v>885</v>
      </c>
      <c r="S417" s="197">
        <v>875</v>
      </c>
      <c r="T417" s="197">
        <f t="shared" si="47"/>
        <v>1760</v>
      </c>
      <c r="U417" s="110">
        <f t="shared" si="51"/>
        <v>885</v>
      </c>
      <c r="V417" s="110"/>
      <c r="W417" s="110">
        <v>113</v>
      </c>
      <c r="X417" s="110">
        <v>628</v>
      </c>
      <c r="Y417" s="110">
        <v>144</v>
      </c>
      <c r="Z417" s="110"/>
      <c r="AA417" s="110">
        <f>SUM(AB417:AD417)</f>
        <v>875</v>
      </c>
      <c r="AB417" s="110">
        <v>66</v>
      </c>
      <c r="AC417" s="110">
        <v>809</v>
      </c>
      <c r="AD417" s="110"/>
      <c r="AE417" s="110">
        <f t="shared" si="48"/>
        <v>841</v>
      </c>
      <c r="AF417" s="198" t="s">
        <v>965</v>
      </c>
      <c r="AG417" s="198">
        <v>1.76</v>
      </c>
      <c r="AH417" s="199">
        <v>910</v>
      </c>
      <c r="AI417" s="199">
        <v>910</v>
      </c>
      <c r="AJ417" s="234" t="s">
        <v>105</v>
      </c>
      <c r="AK417" s="196">
        <v>2003</v>
      </c>
      <c r="AL417" s="196">
        <v>2010</v>
      </c>
      <c r="AM417" s="202" t="s">
        <v>914</v>
      </c>
      <c r="AN417" s="202"/>
      <c r="AO417" s="202"/>
      <c r="AP417" s="107">
        <v>37769</v>
      </c>
      <c r="AQ417" s="107">
        <v>39822</v>
      </c>
      <c r="AR417" s="107"/>
      <c r="AS417" s="107"/>
      <c r="AT417" s="107"/>
      <c r="AU417" s="218"/>
      <c r="AV417" s="218" t="s">
        <v>70</v>
      </c>
      <c r="AW417" s="204" t="s">
        <v>70</v>
      </c>
      <c r="AX417" s="107"/>
      <c r="AY417" s="107"/>
      <c r="AZ417" s="107">
        <v>38390</v>
      </c>
      <c r="BA417" s="107"/>
      <c r="BB417" s="107">
        <v>39994</v>
      </c>
      <c r="BC417" s="107">
        <v>40051</v>
      </c>
      <c r="BD417" s="107">
        <v>40480</v>
      </c>
      <c r="BE417" s="107"/>
      <c r="BF417" s="107"/>
      <c r="BG417" s="321"/>
      <c r="BH417" s="285" t="s">
        <v>1572</v>
      </c>
    </row>
    <row r="418" spans="1:60" s="61" customFormat="1" ht="20.100000000000001" customHeight="1">
      <c r="A418" s="195">
        <v>413</v>
      </c>
      <c r="B418" s="196" t="s">
        <v>974</v>
      </c>
      <c r="C418" s="65" t="s">
        <v>137</v>
      </c>
      <c r="D418" s="65" t="s">
        <v>73</v>
      </c>
      <c r="E418" s="65" t="s">
        <v>1020</v>
      </c>
      <c r="F418" s="211" t="s">
        <v>1021</v>
      </c>
      <c r="G418" s="110">
        <v>61041</v>
      </c>
      <c r="H418" s="215" t="s">
        <v>782</v>
      </c>
      <c r="I418" s="208">
        <v>23</v>
      </c>
      <c r="J418" s="208">
        <v>599</v>
      </c>
      <c r="K418" s="208"/>
      <c r="L418" s="208">
        <v>283</v>
      </c>
      <c r="M418" s="208">
        <v>316</v>
      </c>
      <c r="N418" s="208"/>
      <c r="O418" s="208"/>
      <c r="P418" s="197">
        <v>1313</v>
      </c>
      <c r="Q418" s="197">
        <v>602</v>
      </c>
      <c r="R418" s="197">
        <v>711</v>
      </c>
      <c r="S418" s="197"/>
      <c r="T418" s="197">
        <f t="shared" si="47"/>
        <v>1313</v>
      </c>
      <c r="U418" s="110">
        <f t="shared" si="51"/>
        <v>1313</v>
      </c>
      <c r="V418" s="110"/>
      <c r="W418" s="110">
        <v>759</v>
      </c>
      <c r="X418" s="110">
        <v>492</v>
      </c>
      <c r="Y418" s="110">
        <v>62</v>
      </c>
      <c r="Z418" s="110"/>
      <c r="AA418" s="110"/>
      <c r="AB418" s="110"/>
      <c r="AC418" s="110"/>
      <c r="AD418" s="110"/>
      <c r="AE418" s="110">
        <f t="shared" si="48"/>
        <v>714</v>
      </c>
      <c r="AF418" s="198">
        <v>0.67</v>
      </c>
      <c r="AG418" s="198">
        <v>2.66</v>
      </c>
      <c r="AH418" s="213">
        <v>630</v>
      </c>
      <c r="AI418" s="213">
        <v>630</v>
      </c>
      <c r="AJ418" s="196" t="s">
        <v>92</v>
      </c>
      <c r="AK418" s="215" t="s">
        <v>711</v>
      </c>
      <c r="AL418" s="215">
        <v>2022</v>
      </c>
      <c r="AM418" s="202" t="s">
        <v>914</v>
      </c>
      <c r="AN418" s="202" t="s">
        <v>914</v>
      </c>
      <c r="AO418" s="200">
        <v>40124</v>
      </c>
      <c r="AP418" s="107">
        <v>41163</v>
      </c>
      <c r="AQ418" s="107">
        <v>44635</v>
      </c>
      <c r="AR418" s="107">
        <v>41215</v>
      </c>
      <c r="AS418" s="202">
        <v>40151</v>
      </c>
      <c r="AT418" s="202"/>
      <c r="AU418" s="218">
        <v>40315</v>
      </c>
      <c r="AV418" s="218" t="s">
        <v>82</v>
      </c>
      <c r="AW418" s="204" t="s">
        <v>70</v>
      </c>
      <c r="AX418" s="202"/>
      <c r="AY418" s="202">
        <v>41787</v>
      </c>
      <c r="AZ418" s="202">
        <v>42955</v>
      </c>
      <c r="BA418" s="202">
        <v>43143</v>
      </c>
      <c r="BB418" s="202">
        <v>43585</v>
      </c>
      <c r="BC418" s="202">
        <v>43706</v>
      </c>
      <c r="BD418" s="202">
        <v>44643</v>
      </c>
      <c r="BE418" s="202">
        <v>44848</v>
      </c>
      <c r="BF418" s="202">
        <v>45224</v>
      </c>
      <c r="BG418" s="332"/>
      <c r="BH418" s="285" t="s">
        <v>1569</v>
      </c>
    </row>
    <row r="419" spans="1:60" s="61" customFormat="1" ht="20.100000000000001" customHeight="1">
      <c r="A419" s="195">
        <v>414</v>
      </c>
      <c r="B419" s="196" t="s">
        <v>974</v>
      </c>
      <c r="C419" s="65" t="s">
        <v>137</v>
      </c>
      <c r="D419" s="65" t="s">
        <v>73</v>
      </c>
      <c r="E419" s="65" t="s">
        <v>1022</v>
      </c>
      <c r="F419" s="211" t="s">
        <v>1023</v>
      </c>
      <c r="G419" s="110">
        <v>35288</v>
      </c>
      <c r="H419" s="215" t="s">
        <v>782</v>
      </c>
      <c r="I419" s="208">
        <v>15</v>
      </c>
      <c r="J419" s="110">
        <f>SUM(K419:O419)</f>
        <v>470</v>
      </c>
      <c r="K419" s="208"/>
      <c r="L419" s="208"/>
      <c r="M419" s="208">
        <v>470</v>
      </c>
      <c r="N419" s="208"/>
      <c r="O419" s="208"/>
      <c r="P419" s="197">
        <v>798</v>
      </c>
      <c r="Q419" s="197">
        <v>475</v>
      </c>
      <c r="R419" s="197">
        <v>323</v>
      </c>
      <c r="S419" s="197"/>
      <c r="T419" s="197">
        <f t="shared" si="47"/>
        <v>798</v>
      </c>
      <c r="U419" s="110">
        <f t="shared" si="51"/>
        <v>798</v>
      </c>
      <c r="V419" s="110"/>
      <c r="W419" s="110">
        <v>443</v>
      </c>
      <c r="X419" s="110">
        <v>327</v>
      </c>
      <c r="Y419" s="110">
        <v>28</v>
      </c>
      <c r="Z419" s="110"/>
      <c r="AA419" s="110"/>
      <c r="AB419" s="110"/>
      <c r="AC419" s="110"/>
      <c r="AD419" s="110"/>
      <c r="AE419" s="110">
        <f t="shared" si="48"/>
        <v>328</v>
      </c>
      <c r="AF419" s="198">
        <v>0.82</v>
      </c>
      <c r="AG419" s="198">
        <v>2.85</v>
      </c>
      <c r="AH419" s="199">
        <v>478</v>
      </c>
      <c r="AI419" s="199">
        <v>472</v>
      </c>
      <c r="AJ419" s="196" t="s">
        <v>92</v>
      </c>
      <c r="AK419" s="226" t="s">
        <v>151</v>
      </c>
      <c r="AL419" s="226">
        <v>2021</v>
      </c>
      <c r="AM419" s="202" t="s">
        <v>914</v>
      </c>
      <c r="AN419" s="202" t="s">
        <v>914</v>
      </c>
      <c r="AO419" s="200">
        <v>40507</v>
      </c>
      <c r="AP419" s="107">
        <v>40847</v>
      </c>
      <c r="AQ419" s="107">
        <v>42902</v>
      </c>
      <c r="AR419" s="107">
        <v>40927</v>
      </c>
      <c r="AS419" s="202">
        <v>40135</v>
      </c>
      <c r="AT419" s="202"/>
      <c r="AU419" s="218">
        <v>40270</v>
      </c>
      <c r="AV419" s="218" t="s">
        <v>82</v>
      </c>
      <c r="AW419" s="204" t="s">
        <v>70</v>
      </c>
      <c r="AX419" s="202"/>
      <c r="AY419" s="202">
        <v>41494</v>
      </c>
      <c r="AZ419" s="202">
        <v>42551</v>
      </c>
      <c r="BA419" s="202">
        <v>42797</v>
      </c>
      <c r="BB419" s="202">
        <v>43285</v>
      </c>
      <c r="BC419" s="202">
        <v>43300</v>
      </c>
      <c r="BD419" s="202">
        <v>44253</v>
      </c>
      <c r="BE419" s="202">
        <v>44431</v>
      </c>
      <c r="BF419" s="202">
        <v>45169</v>
      </c>
      <c r="BG419" s="332"/>
      <c r="BH419" s="285" t="s">
        <v>1569</v>
      </c>
    </row>
    <row r="420" spans="1:60">
      <c r="A420" s="195">
        <v>415</v>
      </c>
      <c r="B420" s="196" t="s">
        <v>1024</v>
      </c>
      <c r="C420" s="65" t="s">
        <v>64</v>
      </c>
      <c r="D420" s="65" t="s">
        <v>85</v>
      </c>
      <c r="E420" s="65" t="s">
        <v>1025</v>
      </c>
      <c r="F420" s="65" t="s">
        <v>1026</v>
      </c>
      <c r="G420" s="110">
        <v>28080.7</v>
      </c>
      <c r="H420" s="65" t="s">
        <v>1027</v>
      </c>
      <c r="I420" s="235">
        <v>107</v>
      </c>
      <c r="J420" s="235">
        <v>481</v>
      </c>
      <c r="K420" s="235">
        <v>2</v>
      </c>
      <c r="L420" s="235">
        <v>1</v>
      </c>
      <c r="M420" s="235" t="s">
        <v>97</v>
      </c>
      <c r="N420" s="235">
        <v>3</v>
      </c>
      <c r="O420" s="235">
        <v>475</v>
      </c>
      <c r="P420" s="197">
        <v>605</v>
      </c>
      <c r="Q420" s="197" t="s">
        <v>100</v>
      </c>
      <c r="R420" s="197" t="s">
        <v>100</v>
      </c>
      <c r="S420" s="197">
        <v>49</v>
      </c>
      <c r="T420" s="235">
        <v>556</v>
      </c>
      <c r="U420" s="235">
        <v>22</v>
      </c>
      <c r="V420" s="235">
        <v>201</v>
      </c>
      <c r="W420" s="235">
        <v>333</v>
      </c>
      <c r="X420" s="65"/>
      <c r="Y420" s="65"/>
      <c r="Z420" s="110"/>
      <c r="AA420" s="235">
        <v>49</v>
      </c>
      <c r="AB420" s="235">
        <v>10</v>
      </c>
      <c r="AC420" s="235">
        <v>39</v>
      </c>
      <c r="AD420" s="65"/>
      <c r="AE420" s="110">
        <f t="shared" si="48"/>
        <v>75</v>
      </c>
      <c r="AF420" s="198"/>
      <c r="AG420" s="198">
        <v>3.0472999999999999</v>
      </c>
      <c r="AH420" s="199">
        <v>377</v>
      </c>
      <c r="AI420" s="65" t="s">
        <v>100</v>
      </c>
      <c r="AJ420" s="196" t="s">
        <v>1028</v>
      </c>
      <c r="AK420" s="65">
        <v>2023</v>
      </c>
      <c r="AL420" s="196"/>
      <c r="AM420" s="215" t="s">
        <v>914</v>
      </c>
      <c r="AN420" s="215" t="s">
        <v>914</v>
      </c>
      <c r="AO420" s="107">
        <v>45098</v>
      </c>
      <c r="AP420" s="202">
        <v>45979</v>
      </c>
      <c r="AQ420" s="107"/>
      <c r="AR420" s="107"/>
      <c r="AS420" s="107"/>
      <c r="AT420" s="107"/>
      <c r="AU420" s="107"/>
      <c r="AV420" s="203"/>
      <c r="AW420" s="204"/>
      <c r="AX420" s="107"/>
      <c r="AY420" s="107">
        <v>46154</v>
      </c>
      <c r="AZ420" s="107"/>
      <c r="BA420" s="107"/>
      <c r="BB420" s="107"/>
      <c r="BC420" s="107"/>
      <c r="BD420" s="107"/>
      <c r="BE420" s="107"/>
      <c r="BF420" s="107"/>
      <c r="BG420" s="321"/>
      <c r="BH420" s="285" t="s">
        <v>1573</v>
      </c>
    </row>
    <row r="421" spans="1:60">
      <c r="A421" s="195">
        <v>416</v>
      </c>
      <c r="B421" s="196" t="s">
        <v>1024</v>
      </c>
      <c r="C421" s="65" t="s">
        <v>62</v>
      </c>
      <c r="D421" s="65" t="s">
        <v>85</v>
      </c>
      <c r="E421" s="65" t="s">
        <v>1029</v>
      </c>
      <c r="F421" s="65" t="s">
        <v>1030</v>
      </c>
      <c r="G421" s="110">
        <v>38873.4</v>
      </c>
      <c r="H421" s="196" t="s">
        <v>1031</v>
      </c>
      <c r="I421" s="235">
        <v>126</v>
      </c>
      <c r="J421" s="235">
        <v>745</v>
      </c>
      <c r="K421" s="235">
        <v>290</v>
      </c>
      <c r="L421" s="235">
        <v>284</v>
      </c>
      <c r="M421" s="235">
        <v>102</v>
      </c>
      <c r="N421" s="235">
        <v>62</v>
      </c>
      <c r="O421" s="235">
        <v>7</v>
      </c>
      <c r="P421" s="197">
        <v>880</v>
      </c>
      <c r="Q421" s="197" t="s">
        <v>100</v>
      </c>
      <c r="R421" s="197" t="s">
        <v>100</v>
      </c>
      <c r="S421" s="197">
        <v>45</v>
      </c>
      <c r="T421" s="197">
        <v>880</v>
      </c>
      <c r="U421" s="235">
        <v>835</v>
      </c>
      <c r="V421" s="235">
        <v>13</v>
      </c>
      <c r="W421" s="235">
        <v>465</v>
      </c>
      <c r="X421" s="235">
        <v>273</v>
      </c>
      <c r="Y421" s="235">
        <v>84</v>
      </c>
      <c r="Z421" s="110"/>
      <c r="AA421" s="235">
        <v>45</v>
      </c>
      <c r="AB421" s="235">
        <v>45</v>
      </c>
      <c r="AC421" s="110"/>
      <c r="AD421" s="110"/>
      <c r="AE421" s="110">
        <f t="shared" si="48"/>
        <v>135</v>
      </c>
      <c r="AF421" s="198"/>
      <c r="AG421" s="198">
        <v>2.9950000000000001</v>
      </c>
      <c r="AH421" s="199">
        <v>415</v>
      </c>
      <c r="AI421" s="199" t="s">
        <v>100</v>
      </c>
      <c r="AJ421" s="196" t="s">
        <v>100</v>
      </c>
      <c r="AK421" s="196">
        <v>2026</v>
      </c>
      <c r="AL421" s="196">
        <v>2036</v>
      </c>
      <c r="AM421" s="200" t="s">
        <v>914</v>
      </c>
      <c r="AN421" s="200" t="s">
        <v>914</v>
      </c>
      <c r="AO421" s="202" t="s">
        <v>1032</v>
      </c>
      <c r="AP421" s="202" t="s">
        <v>1032</v>
      </c>
      <c r="AQ421" s="107"/>
      <c r="AR421" s="107"/>
      <c r="AS421" s="107"/>
      <c r="AT421" s="107"/>
      <c r="AU421" s="107"/>
      <c r="AV421" s="203"/>
      <c r="AW421" s="204"/>
      <c r="AX421" s="107"/>
      <c r="AY421" s="107"/>
      <c r="AZ421" s="107"/>
      <c r="BA421" s="107"/>
      <c r="BB421" s="107"/>
      <c r="BC421" s="107"/>
      <c r="BD421" s="107"/>
      <c r="BE421" s="107"/>
      <c r="BF421" s="107"/>
      <c r="BG421" s="321"/>
      <c r="BH421" s="285" t="s">
        <v>1574</v>
      </c>
    </row>
    <row r="422" spans="1:60" s="61" customFormat="1" ht="19.5" customHeight="1">
      <c r="A422" s="195">
        <v>417</v>
      </c>
      <c r="B422" s="196" t="s">
        <v>1024</v>
      </c>
      <c r="C422" s="65" t="s">
        <v>62</v>
      </c>
      <c r="D422" s="65" t="s">
        <v>85</v>
      </c>
      <c r="E422" s="65" t="s">
        <v>1033</v>
      </c>
      <c r="F422" s="65" t="s">
        <v>1034</v>
      </c>
      <c r="G422" s="110">
        <v>92033.9</v>
      </c>
      <c r="H422" s="196" t="s">
        <v>1035</v>
      </c>
      <c r="I422" s="110">
        <v>309</v>
      </c>
      <c r="J422" s="110">
        <f>SUM(K422:O422)</f>
        <v>1955</v>
      </c>
      <c r="K422" s="110">
        <v>87</v>
      </c>
      <c r="L422" s="110">
        <v>1502</v>
      </c>
      <c r="M422" s="110">
        <v>323</v>
      </c>
      <c r="N422" s="110">
        <v>37</v>
      </c>
      <c r="O422" s="110">
        <v>6</v>
      </c>
      <c r="P422" s="197">
        <v>2017</v>
      </c>
      <c r="Q422" s="197" t="s">
        <v>100</v>
      </c>
      <c r="R422" s="197" t="s">
        <v>100</v>
      </c>
      <c r="S422" s="197" t="s">
        <v>100</v>
      </c>
      <c r="T422" s="197">
        <f t="shared" ref="T422:T434" si="52">U422+AA422</f>
        <v>2017</v>
      </c>
      <c r="U422" s="197">
        <f>SUM(V422:Z422)</f>
        <v>1837</v>
      </c>
      <c r="V422" s="110"/>
      <c r="W422" s="110">
        <v>769</v>
      </c>
      <c r="X422" s="110">
        <v>49</v>
      </c>
      <c r="Y422" s="110">
        <v>1019</v>
      </c>
      <c r="Z422" s="110"/>
      <c r="AA422" s="110">
        <f>SUM(AB422:AD422)</f>
        <v>180</v>
      </c>
      <c r="AB422" s="110">
        <v>98</v>
      </c>
      <c r="AC422" s="110">
        <v>82</v>
      </c>
      <c r="AD422" s="110"/>
      <c r="AE422" s="110">
        <f t="shared" si="48"/>
        <v>62</v>
      </c>
      <c r="AF422" s="198"/>
      <c r="AG422" s="198">
        <v>3</v>
      </c>
      <c r="AH422" s="199">
        <v>1398</v>
      </c>
      <c r="AI422" s="199" t="s">
        <v>100</v>
      </c>
      <c r="AJ422" s="196" t="s">
        <v>100</v>
      </c>
      <c r="AK422" s="196">
        <v>2025</v>
      </c>
      <c r="AL422" s="196">
        <v>2035</v>
      </c>
      <c r="AM422" s="200" t="s">
        <v>914</v>
      </c>
      <c r="AN422" s="202" t="s">
        <v>914</v>
      </c>
      <c r="AO422" s="107">
        <v>45715</v>
      </c>
      <c r="AP422" s="108">
        <v>45715</v>
      </c>
      <c r="AQ422" s="107"/>
      <c r="AR422" s="107"/>
      <c r="AS422" s="107"/>
      <c r="AT422" s="107"/>
      <c r="AU422" s="218"/>
      <c r="AV422" s="218"/>
      <c r="AW422" s="196"/>
      <c r="AX422" s="107"/>
      <c r="AY422" s="107"/>
      <c r="AZ422" s="107"/>
      <c r="BA422" s="107"/>
      <c r="BB422" s="107"/>
      <c r="BC422" s="107"/>
      <c r="BD422" s="107"/>
      <c r="BE422" s="107"/>
      <c r="BF422" s="107"/>
      <c r="BG422" s="321"/>
      <c r="BH422" s="285" t="s">
        <v>1575</v>
      </c>
    </row>
    <row r="423" spans="1:60" s="61" customFormat="1" ht="20.100000000000001" customHeight="1">
      <c r="A423" s="195">
        <v>418</v>
      </c>
      <c r="B423" s="196" t="s">
        <v>1024</v>
      </c>
      <c r="C423" s="65" t="s">
        <v>64</v>
      </c>
      <c r="D423" s="65" t="s">
        <v>85</v>
      </c>
      <c r="E423" s="65" t="s">
        <v>1036</v>
      </c>
      <c r="F423" s="65" t="s">
        <v>1037</v>
      </c>
      <c r="G423" s="110">
        <v>50028</v>
      </c>
      <c r="H423" s="196" t="s">
        <v>1038</v>
      </c>
      <c r="I423" s="110">
        <v>146</v>
      </c>
      <c r="J423" s="110">
        <v>839</v>
      </c>
      <c r="K423" s="110">
        <v>12</v>
      </c>
      <c r="L423" s="110">
        <v>551</v>
      </c>
      <c r="M423" s="110">
        <v>206</v>
      </c>
      <c r="N423" s="110">
        <v>46</v>
      </c>
      <c r="O423" s="110">
        <v>24</v>
      </c>
      <c r="P423" s="197">
        <v>940</v>
      </c>
      <c r="Q423" s="197" t="s">
        <v>100</v>
      </c>
      <c r="R423" s="197" t="s">
        <v>100</v>
      </c>
      <c r="S423" s="197">
        <v>92</v>
      </c>
      <c r="T423" s="197">
        <f t="shared" si="52"/>
        <v>940</v>
      </c>
      <c r="U423" s="110">
        <v>848</v>
      </c>
      <c r="V423" s="110"/>
      <c r="W423" s="110">
        <v>429</v>
      </c>
      <c r="X423" s="110">
        <v>305</v>
      </c>
      <c r="Y423" s="110">
        <v>114</v>
      </c>
      <c r="Z423" s="110"/>
      <c r="AA423" s="110">
        <v>92</v>
      </c>
      <c r="AB423" s="110">
        <v>72</v>
      </c>
      <c r="AC423" s="110">
        <v>20</v>
      </c>
      <c r="AD423" s="110"/>
      <c r="AE423" s="110">
        <f t="shared" si="48"/>
        <v>101</v>
      </c>
      <c r="AF423" s="198"/>
      <c r="AG423" s="198">
        <v>2.9996999999999998</v>
      </c>
      <c r="AH423" s="199">
        <v>586</v>
      </c>
      <c r="AI423" s="199" t="s">
        <v>100</v>
      </c>
      <c r="AJ423" s="196" t="s">
        <v>1028</v>
      </c>
      <c r="AK423" s="196"/>
      <c r="AL423" s="196"/>
      <c r="AM423" s="200" t="s">
        <v>914</v>
      </c>
      <c r="AN423" s="200" t="s">
        <v>914</v>
      </c>
      <c r="AO423" s="108">
        <v>45562</v>
      </c>
      <c r="AP423" s="107">
        <v>45562</v>
      </c>
      <c r="AQ423" s="107"/>
      <c r="AR423" s="107"/>
      <c r="AS423" s="107"/>
      <c r="AT423" s="107"/>
      <c r="AU423" s="218"/>
      <c r="AV423" s="218"/>
      <c r="AW423" s="204"/>
      <c r="AX423" s="107"/>
      <c r="AY423" s="107">
        <v>45777</v>
      </c>
      <c r="AZ423" s="107"/>
      <c r="BA423" s="107"/>
      <c r="BB423" s="107"/>
      <c r="BC423" s="107"/>
      <c r="BD423" s="107"/>
      <c r="BE423" s="107"/>
      <c r="BF423" s="107"/>
      <c r="BG423" s="321"/>
      <c r="BH423" s="285" t="s">
        <v>1575</v>
      </c>
    </row>
    <row r="424" spans="1:60" s="61" customFormat="1" ht="20.100000000000001" customHeight="1">
      <c r="A424" s="195">
        <v>419</v>
      </c>
      <c r="B424" s="196" t="s">
        <v>1024</v>
      </c>
      <c r="C424" s="65" t="s">
        <v>64</v>
      </c>
      <c r="D424" s="65" t="s">
        <v>85</v>
      </c>
      <c r="E424" s="65" t="s">
        <v>1039</v>
      </c>
      <c r="F424" s="65" t="s">
        <v>1040</v>
      </c>
      <c r="G424" s="110">
        <v>44027</v>
      </c>
      <c r="H424" s="196" t="s">
        <v>1041</v>
      </c>
      <c r="I424" s="110">
        <v>194</v>
      </c>
      <c r="J424" s="110">
        <v>951</v>
      </c>
      <c r="K424" s="110">
        <v>2</v>
      </c>
      <c r="L424" s="110">
        <v>2</v>
      </c>
      <c r="M424" s="110">
        <v>4</v>
      </c>
      <c r="N424" s="110">
        <v>13</v>
      </c>
      <c r="O424" s="110">
        <v>930</v>
      </c>
      <c r="P424" s="197">
        <v>981</v>
      </c>
      <c r="Q424" s="197" t="s">
        <v>100</v>
      </c>
      <c r="R424" s="197" t="s">
        <v>100</v>
      </c>
      <c r="S424" s="197">
        <v>83</v>
      </c>
      <c r="T424" s="197">
        <f t="shared" si="52"/>
        <v>981</v>
      </c>
      <c r="U424" s="110">
        <v>898</v>
      </c>
      <c r="V424" s="110">
        <v>7</v>
      </c>
      <c r="W424" s="110">
        <v>605</v>
      </c>
      <c r="X424" s="110">
        <v>286</v>
      </c>
      <c r="Y424" s="110"/>
      <c r="Z424" s="110"/>
      <c r="AA424" s="110">
        <v>83</v>
      </c>
      <c r="AB424" s="110">
        <v>47</v>
      </c>
      <c r="AC424" s="110">
        <v>36</v>
      </c>
      <c r="AD424" s="110"/>
      <c r="AE424" s="110">
        <f t="shared" si="48"/>
        <v>30</v>
      </c>
      <c r="AF424" s="198"/>
      <c r="AG424" s="198">
        <v>2.9998</v>
      </c>
      <c r="AH424" s="199">
        <v>332</v>
      </c>
      <c r="AI424" s="199" t="s">
        <v>100</v>
      </c>
      <c r="AJ424" s="196"/>
      <c r="AK424" s="196"/>
      <c r="AL424" s="196"/>
      <c r="AM424" s="200" t="s">
        <v>914</v>
      </c>
      <c r="AN424" s="200" t="s">
        <v>914</v>
      </c>
      <c r="AO424" s="108">
        <v>45623</v>
      </c>
      <c r="AP424" s="108">
        <v>45623</v>
      </c>
      <c r="AQ424" s="107"/>
      <c r="AR424" s="107"/>
      <c r="AS424" s="107"/>
      <c r="AT424" s="107"/>
      <c r="AU424" s="218"/>
      <c r="AV424" s="218"/>
      <c r="AW424" s="204"/>
      <c r="AX424" s="107"/>
      <c r="AY424" s="107">
        <v>45870</v>
      </c>
      <c r="AZ424" s="107"/>
      <c r="BA424" s="107"/>
      <c r="BB424" s="107"/>
      <c r="BC424" s="107"/>
      <c r="BD424" s="107"/>
      <c r="BE424" s="107"/>
      <c r="BF424" s="107"/>
      <c r="BG424" s="321"/>
      <c r="BH424" s="285" t="s">
        <v>1576</v>
      </c>
    </row>
    <row r="425" spans="1:60" s="61" customFormat="1" ht="20.100000000000001" customHeight="1">
      <c r="A425" s="195">
        <v>420</v>
      </c>
      <c r="B425" s="196" t="s">
        <v>1024</v>
      </c>
      <c r="C425" s="65" t="s">
        <v>64</v>
      </c>
      <c r="D425" s="65" t="s">
        <v>85</v>
      </c>
      <c r="E425" s="65" t="s">
        <v>1042</v>
      </c>
      <c r="F425" s="65" t="s">
        <v>1043</v>
      </c>
      <c r="G425" s="110">
        <v>47512</v>
      </c>
      <c r="H425" s="196" t="s">
        <v>1044</v>
      </c>
      <c r="I425" s="110">
        <v>150</v>
      </c>
      <c r="J425" s="110">
        <v>670</v>
      </c>
      <c r="K425" s="110">
        <v>20</v>
      </c>
      <c r="L425" s="110">
        <v>186</v>
      </c>
      <c r="M425" s="110">
        <v>275</v>
      </c>
      <c r="N425" s="110">
        <v>103</v>
      </c>
      <c r="O425" s="110">
        <v>86</v>
      </c>
      <c r="P425" s="197">
        <v>1092</v>
      </c>
      <c r="Q425" s="197" t="s">
        <v>100</v>
      </c>
      <c r="R425" s="197" t="s">
        <v>100</v>
      </c>
      <c r="S425" s="197">
        <v>93</v>
      </c>
      <c r="T425" s="197">
        <f t="shared" si="52"/>
        <v>1092</v>
      </c>
      <c r="U425" s="110">
        <v>999</v>
      </c>
      <c r="V425" s="110">
        <v>3</v>
      </c>
      <c r="W425" s="110">
        <v>547</v>
      </c>
      <c r="X425" s="110">
        <v>353</v>
      </c>
      <c r="Y425" s="110">
        <v>96</v>
      </c>
      <c r="Z425" s="110"/>
      <c r="AA425" s="110">
        <v>93</v>
      </c>
      <c r="AB425" s="110">
        <v>51</v>
      </c>
      <c r="AC425" s="110">
        <v>42</v>
      </c>
      <c r="AD425" s="110"/>
      <c r="AE425" s="110">
        <f t="shared" si="48"/>
        <v>422</v>
      </c>
      <c r="AF425" s="198"/>
      <c r="AG425" s="198">
        <v>2.9998999999999998</v>
      </c>
      <c r="AH425" s="199">
        <v>533</v>
      </c>
      <c r="AI425" s="199" t="s">
        <v>100</v>
      </c>
      <c r="AJ425" s="196" t="s">
        <v>1028</v>
      </c>
      <c r="AK425" s="196">
        <v>2025</v>
      </c>
      <c r="AL425" s="196">
        <v>2032</v>
      </c>
      <c r="AM425" s="200" t="s">
        <v>914</v>
      </c>
      <c r="AN425" s="200" t="s">
        <v>914</v>
      </c>
      <c r="AO425" s="108">
        <v>45562</v>
      </c>
      <c r="AP425" s="107">
        <v>45562</v>
      </c>
      <c r="AQ425" s="107"/>
      <c r="AR425" s="107"/>
      <c r="AS425" s="107"/>
      <c r="AT425" s="107"/>
      <c r="AU425" s="107"/>
      <c r="AV425" s="203"/>
      <c r="AW425" s="204"/>
      <c r="AX425" s="107"/>
      <c r="AY425" s="107">
        <v>45737</v>
      </c>
      <c r="AZ425" s="107"/>
      <c r="BA425" s="107"/>
      <c r="BB425" s="107"/>
      <c r="BC425" s="107"/>
      <c r="BD425" s="107"/>
      <c r="BE425" s="107"/>
      <c r="BF425" s="107"/>
      <c r="BG425" s="321"/>
      <c r="BH425" s="285" t="s">
        <v>1577</v>
      </c>
    </row>
    <row r="426" spans="1:60" s="61" customFormat="1" ht="20.100000000000001" customHeight="1">
      <c r="A426" s="195">
        <v>421</v>
      </c>
      <c r="B426" s="196" t="s">
        <v>1024</v>
      </c>
      <c r="C426" s="65" t="s">
        <v>64</v>
      </c>
      <c r="D426" s="65" t="s">
        <v>85</v>
      </c>
      <c r="E426" s="65" t="s">
        <v>1045</v>
      </c>
      <c r="F426" s="65" t="s">
        <v>1046</v>
      </c>
      <c r="G426" s="110">
        <v>51417.599999999999</v>
      </c>
      <c r="H426" s="196" t="s">
        <v>1047</v>
      </c>
      <c r="I426" s="110">
        <v>142</v>
      </c>
      <c r="J426" s="110">
        <f>SUM(K426:O426)</f>
        <v>812</v>
      </c>
      <c r="K426" s="110">
        <v>52</v>
      </c>
      <c r="L426" s="110">
        <v>320</v>
      </c>
      <c r="M426" s="110">
        <v>401</v>
      </c>
      <c r="N426" s="110">
        <v>35</v>
      </c>
      <c r="O426" s="110">
        <v>4</v>
      </c>
      <c r="P426" s="197">
        <v>1150</v>
      </c>
      <c r="Q426" s="197" t="s">
        <v>100</v>
      </c>
      <c r="R426" s="197" t="s">
        <v>100</v>
      </c>
      <c r="S426" s="197" t="s">
        <v>100</v>
      </c>
      <c r="T426" s="197">
        <f t="shared" si="52"/>
        <v>0</v>
      </c>
      <c r="U426" s="110"/>
      <c r="V426" s="110"/>
      <c r="W426" s="110"/>
      <c r="X426" s="110"/>
      <c r="Y426" s="110"/>
      <c r="Z426" s="110"/>
      <c r="AA426" s="110"/>
      <c r="AB426" s="110"/>
      <c r="AC426" s="110"/>
      <c r="AD426" s="110"/>
      <c r="AE426" s="110">
        <f t="shared" si="48"/>
        <v>-812</v>
      </c>
      <c r="AF426" s="198"/>
      <c r="AG426" s="198" t="s">
        <v>100</v>
      </c>
      <c r="AH426" s="199">
        <v>504</v>
      </c>
      <c r="AI426" s="199" t="s">
        <v>100</v>
      </c>
      <c r="AJ426" s="196" t="s">
        <v>1028</v>
      </c>
      <c r="AK426" s="196">
        <v>2025</v>
      </c>
      <c r="AL426" s="196">
        <v>3035</v>
      </c>
      <c r="AM426" s="200" t="s">
        <v>914</v>
      </c>
      <c r="AN426" s="200" t="s">
        <v>914</v>
      </c>
      <c r="AO426" s="108" t="s">
        <v>100</v>
      </c>
      <c r="AP426" s="107">
        <v>45715</v>
      </c>
      <c r="AQ426" s="107"/>
      <c r="AR426" s="107"/>
      <c r="AS426" s="107"/>
      <c r="AT426" s="107"/>
      <c r="AU426" s="107"/>
      <c r="AV426" s="203"/>
      <c r="AW426" s="204"/>
      <c r="AX426" s="107"/>
      <c r="AY426" s="107">
        <v>45715</v>
      </c>
      <c r="AZ426" s="107"/>
      <c r="BA426" s="107"/>
      <c r="BB426" s="107"/>
      <c r="BC426" s="107"/>
      <c r="BD426" s="107"/>
      <c r="BE426" s="107"/>
      <c r="BF426" s="107"/>
      <c r="BG426" s="321"/>
      <c r="BH426" s="285" t="s">
        <v>1576</v>
      </c>
    </row>
    <row r="427" spans="1:60" s="61" customFormat="1" ht="20.100000000000001" customHeight="1">
      <c r="A427" s="195">
        <v>422</v>
      </c>
      <c r="B427" s="196" t="s">
        <v>1024</v>
      </c>
      <c r="C427" s="65" t="s">
        <v>64</v>
      </c>
      <c r="D427" s="65" t="s">
        <v>85</v>
      </c>
      <c r="E427" s="65" t="s">
        <v>1048</v>
      </c>
      <c r="F427" s="65" t="s">
        <v>1049</v>
      </c>
      <c r="G427" s="110">
        <v>58139</v>
      </c>
      <c r="H427" s="196" t="s">
        <v>1050</v>
      </c>
      <c r="I427" s="110">
        <v>150</v>
      </c>
      <c r="J427" s="110">
        <f>SUM(K427:O427)</f>
        <v>1022</v>
      </c>
      <c r="K427" s="110">
        <v>233</v>
      </c>
      <c r="L427" s="110">
        <v>497</v>
      </c>
      <c r="M427" s="110">
        <v>201</v>
      </c>
      <c r="N427" s="110">
        <v>88</v>
      </c>
      <c r="O427" s="110">
        <v>3</v>
      </c>
      <c r="P427" s="197">
        <v>1293</v>
      </c>
      <c r="Q427" s="197" t="s">
        <v>100</v>
      </c>
      <c r="R427" s="197" t="s">
        <v>100</v>
      </c>
      <c r="S427" s="197">
        <v>98</v>
      </c>
      <c r="T427" s="197">
        <f t="shared" si="52"/>
        <v>1293</v>
      </c>
      <c r="U427" s="110">
        <f>SUM(V427:Z427)</f>
        <v>1195</v>
      </c>
      <c r="V427" s="110"/>
      <c r="W427" s="110">
        <v>84</v>
      </c>
      <c r="X427" s="110">
        <v>1006</v>
      </c>
      <c r="Y427" s="110">
        <v>105</v>
      </c>
      <c r="Z427" s="110"/>
      <c r="AA427" s="110">
        <f>SUM(AB427:AD427)</f>
        <v>98</v>
      </c>
      <c r="AB427" s="110">
        <v>66</v>
      </c>
      <c r="AC427" s="110">
        <v>32</v>
      </c>
      <c r="AD427" s="110"/>
      <c r="AE427" s="110">
        <f t="shared" si="48"/>
        <v>271</v>
      </c>
      <c r="AF427" s="198">
        <v>1.7689999999999999</v>
      </c>
      <c r="AG427" s="205">
        <v>3.3216000000000001</v>
      </c>
      <c r="AH427" s="199">
        <v>802</v>
      </c>
      <c r="AI427" s="199" t="s">
        <v>100</v>
      </c>
      <c r="AJ427" s="196" t="s">
        <v>1028</v>
      </c>
      <c r="AK427" s="196">
        <v>2022</v>
      </c>
      <c r="AL427" s="196">
        <v>2030</v>
      </c>
      <c r="AM427" s="200" t="s">
        <v>914</v>
      </c>
      <c r="AN427" s="200" t="s">
        <v>914</v>
      </c>
      <c r="AO427" s="202">
        <v>44560</v>
      </c>
      <c r="AP427" s="107">
        <v>44560</v>
      </c>
      <c r="AQ427" s="107">
        <v>45735</v>
      </c>
      <c r="AR427" s="107"/>
      <c r="AS427" s="107"/>
      <c r="AT427" s="107"/>
      <c r="AU427" s="107"/>
      <c r="AV427" s="203" t="s">
        <v>70</v>
      </c>
      <c r="AW427" s="204" t="s">
        <v>70</v>
      </c>
      <c r="AX427" s="107"/>
      <c r="AY427" s="107">
        <v>44796</v>
      </c>
      <c r="AZ427" s="107"/>
      <c r="BA427" s="107"/>
      <c r="BB427" s="107"/>
      <c r="BC427" s="107"/>
      <c r="BD427" s="107"/>
      <c r="BE427" s="107"/>
      <c r="BF427" s="107"/>
      <c r="BG427" s="321"/>
      <c r="BH427" s="285" t="s">
        <v>1578</v>
      </c>
    </row>
    <row r="428" spans="1:60" s="61" customFormat="1" ht="20.100000000000001" customHeight="1">
      <c r="A428" s="195">
        <v>423</v>
      </c>
      <c r="B428" s="196" t="s">
        <v>1024</v>
      </c>
      <c r="C428" s="65" t="s">
        <v>64</v>
      </c>
      <c r="D428" s="65" t="s">
        <v>85</v>
      </c>
      <c r="E428" s="65" t="s">
        <v>1051</v>
      </c>
      <c r="F428" s="65" t="s">
        <v>1052</v>
      </c>
      <c r="G428" s="110">
        <v>84396.6</v>
      </c>
      <c r="H428" s="196" t="s">
        <v>1053</v>
      </c>
      <c r="I428" s="110">
        <v>322</v>
      </c>
      <c r="J428" s="110">
        <f>SUM(K428:O428)</f>
        <v>1661</v>
      </c>
      <c r="K428" s="110">
        <v>151</v>
      </c>
      <c r="L428" s="110">
        <v>910</v>
      </c>
      <c r="M428" s="110">
        <v>155</v>
      </c>
      <c r="N428" s="110">
        <v>73</v>
      </c>
      <c r="O428" s="110">
        <v>372</v>
      </c>
      <c r="P428" s="197">
        <v>1765</v>
      </c>
      <c r="Q428" s="197" t="s">
        <v>100</v>
      </c>
      <c r="R428" s="197" t="s">
        <v>100</v>
      </c>
      <c r="S428" s="197">
        <v>89</v>
      </c>
      <c r="T428" s="197">
        <f t="shared" si="52"/>
        <v>1765</v>
      </c>
      <c r="U428" s="110">
        <f>SUM(V428:Z428)</f>
        <v>1676</v>
      </c>
      <c r="V428" s="110">
        <v>23</v>
      </c>
      <c r="W428" s="110">
        <v>471</v>
      </c>
      <c r="X428" s="110">
        <v>1083</v>
      </c>
      <c r="Y428" s="110">
        <v>99</v>
      </c>
      <c r="Z428" s="110"/>
      <c r="AA428" s="110">
        <f>SUM(AB428:AD428)</f>
        <v>89</v>
      </c>
      <c r="AB428" s="110">
        <v>89</v>
      </c>
      <c r="AC428" s="110"/>
      <c r="AD428" s="110"/>
      <c r="AE428" s="110">
        <f t="shared" si="48"/>
        <v>104</v>
      </c>
      <c r="AF428" s="198">
        <v>1.32</v>
      </c>
      <c r="AG428" s="205">
        <v>3</v>
      </c>
      <c r="AH428" s="199">
        <v>1128</v>
      </c>
      <c r="AI428" s="199" t="s">
        <v>100</v>
      </c>
      <c r="AJ428" s="196" t="s">
        <v>1028</v>
      </c>
      <c r="AK428" s="196">
        <v>2022</v>
      </c>
      <c r="AL428" s="196">
        <v>2030</v>
      </c>
      <c r="AM428" s="200" t="s">
        <v>914</v>
      </c>
      <c r="AN428" s="200" t="s">
        <v>914</v>
      </c>
      <c r="AO428" s="202">
        <v>44560</v>
      </c>
      <c r="AP428" s="107">
        <v>44560</v>
      </c>
      <c r="AQ428" s="108">
        <v>46045</v>
      </c>
      <c r="AR428" s="107"/>
      <c r="AS428" s="107"/>
      <c r="AT428" s="107"/>
      <c r="AU428" s="107"/>
      <c r="AV428" s="203" t="s">
        <v>70</v>
      </c>
      <c r="AW428" s="204" t="s">
        <v>70</v>
      </c>
      <c r="AX428" s="107"/>
      <c r="AY428" s="107">
        <v>44796</v>
      </c>
      <c r="AZ428" s="107"/>
      <c r="BA428" s="107"/>
      <c r="BB428" s="107"/>
      <c r="BC428" s="107"/>
      <c r="BD428" s="107"/>
      <c r="BE428" s="107"/>
      <c r="BF428" s="107"/>
      <c r="BG428" s="321"/>
      <c r="BH428" s="285" t="s">
        <v>1579</v>
      </c>
    </row>
    <row r="429" spans="1:60" s="61" customFormat="1" ht="20.100000000000001" customHeight="1">
      <c r="A429" s="195">
        <v>424</v>
      </c>
      <c r="B429" s="196" t="s">
        <v>1024</v>
      </c>
      <c r="C429" s="65" t="s">
        <v>65</v>
      </c>
      <c r="D429" s="65" t="s">
        <v>85</v>
      </c>
      <c r="E429" s="65" t="s">
        <v>1054</v>
      </c>
      <c r="F429" s="65" t="s">
        <v>1055</v>
      </c>
      <c r="G429" s="110">
        <v>40205.599999999999</v>
      </c>
      <c r="H429" s="196" t="s">
        <v>1056</v>
      </c>
      <c r="I429" s="110">
        <v>131</v>
      </c>
      <c r="J429" s="110">
        <v>558</v>
      </c>
      <c r="K429" s="110"/>
      <c r="L429" s="110">
        <v>1</v>
      </c>
      <c r="M429" s="110">
        <v>115</v>
      </c>
      <c r="N429" s="110">
        <v>243</v>
      </c>
      <c r="O429" s="110">
        <v>199</v>
      </c>
      <c r="P429" s="197">
        <v>954</v>
      </c>
      <c r="Q429" s="197" t="s">
        <v>100</v>
      </c>
      <c r="R429" s="197" t="s">
        <v>100</v>
      </c>
      <c r="S429" s="197">
        <v>92</v>
      </c>
      <c r="T429" s="197">
        <f t="shared" si="52"/>
        <v>954</v>
      </c>
      <c r="U429" s="197">
        <v>862</v>
      </c>
      <c r="V429" s="197">
        <v>1</v>
      </c>
      <c r="W429" s="197">
        <v>271</v>
      </c>
      <c r="X429" s="197">
        <v>538</v>
      </c>
      <c r="Y429" s="197">
        <v>52</v>
      </c>
      <c r="Z429" s="110"/>
      <c r="AA429" s="110">
        <v>92</v>
      </c>
      <c r="AB429" s="110">
        <v>53</v>
      </c>
      <c r="AC429" s="110">
        <v>39</v>
      </c>
      <c r="AD429" s="110"/>
      <c r="AE429" s="110">
        <f t="shared" si="48"/>
        <v>396</v>
      </c>
      <c r="AF429" s="198">
        <v>1.68</v>
      </c>
      <c r="AG429" s="198">
        <v>3.4266000000000001</v>
      </c>
      <c r="AH429" s="199">
        <v>510</v>
      </c>
      <c r="AI429" s="199" t="s">
        <v>100</v>
      </c>
      <c r="AJ429" s="196" t="s">
        <v>1028</v>
      </c>
      <c r="AK429" s="196">
        <v>2022</v>
      </c>
      <c r="AL429" s="196">
        <v>2030</v>
      </c>
      <c r="AM429" s="200" t="s">
        <v>914</v>
      </c>
      <c r="AN429" s="200" t="s">
        <v>914</v>
      </c>
      <c r="AO429" s="107">
        <v>44812</v>
      </c>
      <c r="AP429" s="107">
        <v>45860</v>
      </c>
      <c r="AQ429" s="108">
        <v>46190</v>
      </c>
      <c r="AR429" s="107"/>
      <c r="AS429" s="107"/>
      <c r="AT429" s="107"/>
      <c r="AU429" s="107"/>
      <c r="AV429" s="203" t="s">
        <v>70</v>
      </c>
      <c r="AW429" s="204" t="s">
        <v>70</v>
      </c>
      <c r="AX429" s="107"/>
      <c r="AY429" s="107">
        <v>44960</v>
      </c>
      <c r="AZ429" s="107">
        <v>46198</v>
      </c>
      <c r="BA429" s="107"/>
      <c r="BB429" s="107"/>
      <c r="BC429" s="107"/>
      <c r="BD429" s="107"/>
      <c r="BE429" s="107"/>
      <c r="BF429" s="107"/>
      <c r="BG429" s="321"/>
      <c r="BH429" s="285" t="s">
        <v>1580</v>
      </c>
    </row>
    <row r="430" spans="1:60" s="61" customFormat="1" ht="20.100000000000001" customHeight="1">
      <c r="A430" s="195">
        <v>425</v>
      </c>
      <c r="B430" s="196" t="s">
        <v>1024</v>
      </c>
      <c r="C430" s="65" t="s">
        <v>64</v>
      </c>
      <c r="D430" s="65" t="s">
        <v>85</v>
      </c>
      <c r="E430" s="65" t="s">
        <v>1057</v>
      </c>
      <c r="F430" s="65" t="s">
        <v>1058</v>
      </c>
      <c r="G430" s="110">
        <v>40602</v>
      </c>
      <c r="H430" s="196" t="s">
        <v>1059</v>
      </c>
      <c r="I430" s="110">
        <v>171</v>
      </c>
      <c r="J430" s="110">
        <v>674</v>
      </c>
      <c r="K430" s="110">
        <v>72</v>
      </c>
      <c r="L430" s="110">
        <v>432</v>
      </c>
      <c r="M430" s="110">
        <v>148</v>
      </c>
      <c r="N430" s="110">
        <v>16</v>
      </c>
      <c r="O430" s="110">
        <v>6</v>
      </c>
      <c r="P430" s="197">
        <v>792</v>
      </c>
      <c r="Q430" s="197" t="s">
        <v>100</v>
      </c>
      <c r="R430" s="197" t="s">
        <v>100</v>
      </c>
      <c r="S430" s="197">
        <v>88</v>
      </c>
      <c r="T430" s="197">
        <f t="shared" si="52"/>
        <v>792</v>
      </c>
      <c r="U430" s="110">
        <f>W430+X430+Y430</f>
        <v>746</v>
      </c>
      <c r="V430" s="110"/>
      <c r="W430" s="110">
        <f>45+13+23+23</f>
        <v>104</v>
      </c>
      <c r="X430" s="110">
        <f>160+233+147</f>
        <v>540</v>
      </c>
      <c r="Y430" s="110">
        <f>74+28</f>
        <v>102</v>
      </c>
      <c r="Z430" s="110"/>
      <c r="AA430" s="110">
        <v>46</v>
      </c>
      <c r="AB430" s="110">
        <v>46</v>
      </c>
      <c r="AC430" s="110">
        <v>45</v>
      </c>
      <c r="AD430" s="110"/>
      <c r="AE430" s="110">
        <f t="shared" si="48"/>
        <v>118</v>
      </c>
      <c r="AF430" s="198"/>
      <c r="AG430" s="198">
        <v>3</v>
      </c>
      <c r="AH430" s="199">
        <v>416</v>
      </c>
      <c r="AI430" s="199" t="s">
        <v>100</v>
      </c>
      <c r="AJ430" s="196" t="s">
        <v>1028</v>
      </c>
      <c r="AK430" s="196">
        <v>2024</v>
      </c>
      <c r="AL430" s="196">
        <v>2031</v>
      </c>
      <c r="AM430" s="200" t="s">
        <v>914</v>
      </c>
      <c r="AN430" s="200" t="s">
        <v>914</v>
      </c>
      <c r="AO430" s="108">
        <v>45289</v>
      </c>
      <c r="AP430" s="107">
        <v>45289</v>
      </c>
      <c r="AQ430" s="107"/>
      <c r="AR430" s="107"/>
      <c r="AS430" s="107"/>
      <c r="AT430" s="107"/>
      <c r="AU430" s="107"/>
      <c r="AV430" s="203"/>
      <c r="AW430" s="204"/>
      <c r="AX430" s="107"/>
      <c r="AY430" s="107">
        <v>45484</v>
      </c>
      <c r="AZ430" s="107"/>
      <c r="BA430" s="107"/>
      <c r="BB430" s="107"/>
      <c r="BC430" s="107"/>
      <c r="BD430" s="107"/>
      <c r="BE430" s="107"/>
      <c r="BF430" s="107"/>
      <c r="BG430" s="321"/>
      <c r="BH430" s="285" t="s">
        <v>1576</v>
      </c>
    </row>
    <row r="431" spans="1:60" s="61" customFormat="1" ht="20.100000000000001" customHeight="1">
      <c r="A431" s="195">
        <v>426</v>
      </c>
      <c r="B431" s="196" t="s">
        <v>1024</v>
      </c>
      <c r="C431" s="65" t="s">
        <v>64</v>
      </c>
      <c r="D431" s="65" t="s">
        <v>85</v>
      </c>
      <c r="E431" s="65" t="s">
        <v>1060</v>
      </c>
      <c r="F431" s="65" t="s">
        <v>1061</v>
      </c>
      <c r="G431" s="110">
        <v>25064</v>
      </c>
      <c r="H431" s="196" t="s">
        <v>1038</v>
      </c>
      <c r="I431" s="110">
        <v>117</v>
      </c>
      <c r="J431" s="110">
        <v>488</v>
      </c>
      <c r="K431" s="110">
        <v>22</v>
      </c>
      <c r="L431" s="110">
        <v>334</v>
      </c>
      <c r="M431" s="110">
        <v>105</v>
      </c>
      <c r="N431" s="110">
        <v>17</v>
      </c>
      <c r="O431" s="110">
        <v>10</v>
      </c>
      <c r="P431" s="197">
        <v>501</v>
      </c>
      <c r="Q431" s="197" t="s">
        <v>100</v>
      </c>
      <c r="R431" s="197" t="s">
        <v>100</v>
      </c>
      <c r="S431" s="197">
        <v>55</v>
      </c>
      <c r="T431" s="197">
        <f t="shared" si="52"/>
        <v>501</v>
      </c>
      <c r="U431" s="110">
        <f>SUM(V431:Z431)</f>
        <v>475</v>
      </c>
      <c r="V431" s="110"/>
      <c r="W431" s="110">
        <f>44+195</f>
        <v>239</v>
      </c>
      <c r="X431" s="110">
        <f>33+151</f>
        <v>184</v>
      </c>
      <c r="Y431" s="110">
        <f>48+4</f>
        <v>52</v>
      </c>
      <c r="Z431" s="110"/>
      <c r="AA431" s="110">
        <v>26</v>
      </c>
      <c r="AB431" s="110">
        <v>26</v>
      </c>
      <c r="AC431" s="110">
        <v>11</v>
      </c>
      <c r="AD431" s="110"/>
      <c r="AE431" s="110">
        <f t="shared" si="48"/>
        <v>13</v>
      </c>
      <c r="AF431" s="198"/>
      <c r="AG431" s="198">
        <v>3</v>
      </c>
      <c r="AH431" s="199">
        <v>260</v>
      </c>
      <c r="AI431" s="199" t="s">
        <v>100</v>
      </c>
      <c r="AJ431" s="196" t="s">
        <v>1028</v>
      </c>
      <c r="AK431" s="196">
        <v>2024</v>
      </c>
      <c r="AL431" s="196">
        <v>2033</v>
      </c>
      <c r="AM431" s="200" t="s">
        <v>914</v>
      </c>
      <c r="AN431" s="200" t="s">
        <v>914</v>
      </c>
      <c r="AO431" s="108">
        <v>45289</v>
      </c>
      <c r="AP431" s="107">
        <v>45289</v>
      </c>
      <c r="AQ431" s="107"/>
      <c r="AR431" s="107"/>
      <c r="AS431" s="107"/>
      <c r="AT431" s="107"/>
      <c r="AU431" s="107"/>
      <c r="AV431" s="203"/>
      <c r="AW431" s="204"/>
      <c r="AX431" s="107"/>
      <c r="AY431" s="107">
        <v>45485</v>
      </c>
      <c r="AZ431" s="107"/>
      <c r="BA431" s="107"/>
      <c r="BB431" s="107"/>
      <c r="BC431" s="107"/>
      <c r="BD431" s="107"/>
      <c r="BE431" s="107"/>
      <c r="BF431" s="107"/>
      <c r="BG431" s="321"/>
      <c r="BH431" s="285" t="s">
        <v>1576</v>
      </c>
    </row>
    <row r="432" spans="1:60" s="61" customFormat="1" ht="20.100000000000001" customHeight="1">
      <c r="A432" s="195">
        <v>427</v>
      </c>
      <c r="B432" s="196" t="s">
        <v>1024</v>
      </c>
      <c r="C432" s="65" t="s">
        <v>64</v>
      </c>
      <c r="D432" s="65" t="s">
        <v>85</v>
      </c>
      <c r="E432" s="65" t="s">
        <v>1062</v>
      </c>
      <c r="F432" s="65" t="s">
        <v>1063</v>
      </c>
      <c r="G432" s="110">
        <v>31194</v>
      </c>
      <c r="H432" s="196" t="s">
        <v>1044</v>
      </c>
      <c r="I432" s="110">
        <v>124</v>
      </c>
      <c r="J432" s="110">
        <v>564</v>
      </c>
      <c r="K432" s="110">
        <v>112</v>
      </c>
      <c r="L432" s="110">
        <v>321</v>
      </c>
      <c r="M432" s="110">
        <v>106</v>
      </c>
      <c r="N432" s="110">
        <v>17</v>
      </c>
      <c r="O432" s="110">
        <v>8</v>
      </c>
      <c r="P432" s="197">
        <v>700</v>
      </c>
      <c r="Q432" s="197" t="s">
        <v>100</v>
      </c>
      <c r="R432" s="197" t="s">
        <v>100</v>
      </c>
      <c r="S432" s="197">
        <v>67</v>
      </c>
      <c r="T432" s="197">
        <f t="shared" si="52"/>
        <v>700</v>
      </c>
      <c r="U432" s="110">
        <v>633</v>
      </c>
      <c r="V432" s="110">
        <v>37</v>
      </c>
      <c r="W432" s="110">
        <v>313</v>
      </c>
      <c r="X432" s="110">
        <v>283</v>
      </c>
      <c r="Y432" s="110"/>
      <c r="Z432" s="110"/>
      <c r="AA432" s="110">
        <v>67</v>
      </c>
      <c r="AB432" s="110">
        <v>52</v>
      </c>
      <c r="AC432" s="110">
        <v>15</v>
      </c>
      <c r="AD432" s="110"/>
      <c r="AE432" s="110">
        <f t="shared" si="48"/>
        <v>136</v>
      </c>
      <c r="AF432" s="198"/>
      <c r="AG432" s="198">
        <v>3</v>
      </c>
      <c r="AH432" s="199">
        <v>389</v>
      </c>
      <c r="AI432" s="199" t="s">
        <v>100</v>
      </c>
      <c r="AJ432" s="196" t="s">
        <v>1028</v>
      </c>
      <c r="AK432" s="196">
        <v>2024</v>
      </c>
      <c r="AL432" s="196">
        <v>2033</v>
      </c>
      <c r="AM432" s="200" t="s">
        <v>914</v>
      </c>
      <c r="AN432" s="200" t="s">
        <v>914</v>
      </c>
      <c r="AO432" s="108">
        <v>45289</v>
      </c>
      <c r="AP432" s="107">
        <v>45289</v>
      </c>
      <c r="AQ432" s="107"/>
      <c r="AR432" s="107"/>
      <c r="AS432" s="107"/>
      <c r="AT432" s="107"/>
      <c r="AU432" s="107"/>
      <c r="AV432" s="203"/>
      <c r="AW432" s="204"/>
      <c r="AX432" s="107"/>
      <c r="AY432" s="107">
        <v>45485</v>
      </c>
      <c r="AZ432" s="107"/>
      <c r="BA432" s="107"/>
      <c r="BB432" s="107"/>
      <c r="BC432" s="107"/>
      <c r="BD432" s="107"/>
      <c r="BE432" s="107"/>
      <c r="BF432" s="107"/>
      <c r="BG432" s="321"/>
      <c r="BH432" s="285" t="s">
        <v>1577</v>
      </c>
    </row>
    <row r="433" spans="1:60" s="61" customFormat="1" ht="20.100000000000001" customHeight="1">
      <c r="A433" s="195">
        <v>428</v>
      </c>
      <c r="B433" s="196" t="s">
        <v>1024</v>
      </c>
      <c r="C433" s="65" t="s">
        <v>66</v>
      </c>
      <c r="D433" s="65" t="s">
        <v>85</v>
      </c>
      <c r="E433" s="65" t="s">
        <v>1064</v>
      </c>
      <c r="F433" s="65" t="s">
        <v>1065</v>
      </c>
      <c r="G433" s="110">
        <v>37720.699999999997</v>
      </c>
      <c r="H433" s="196" t="s">
        <v>1066</v>
      </c>
      <c r="I433" s="110">
        <v>102</v>
      </c>
      <c r="J433" s="110">
        <f>SUM(K433:O433)</f>
        <v>610</v>
      </c>
      <c r="K433" s="110">
        <v>300</v>
      </c>
      <c r="L433" s="110">
        <v>200</v>
      </c>
      <c r="M433" s="110">
        <v>100</v>
      </c>
      <c r="N433" s="110">
        <v>10</v>
      </c>
      <c r="O433" s="110"/>
      <c r="P433" s="197">
        <f>52+979</f>
        <v>1031</v>
      </c>
      <c r="Q433" s="197">
        <v>395</v>
      </c>
      <c r="R433" s="197">
        <v>584</v>
      </c>
      <c r="S433" s="197">
        <v>52</v>
      </c>
      <c r="T433" s="197">
        <f t="shared" si="52"/>
        <v>1031</v>
      </c>
      <c r="U433" s="110">
        <f>SUM(V433:Z433)</f>
        <v>979</v>
      </c>
      <c r="V433" s="110">
        <f>43-35</f>
        <v>8</v>
      </c>
      <c r="W433" s="110">
        <f>301-17</f>
        <v>284</v>
      </c>
      <c r="X433" s="110">
        <v>683</v>
      </c>
      <c r="Y433" s="110">
        <v>3</v>
      </c>
      <c r="Z433" s="110">
        <v>1</v>
      </c>
      <c r="AA433" s="110">
        <f>SUM(AB433:AD433)</f>
        <v>52</v>
      </c>
      <c r="AB433" s="110">
        <v>35</v>
      </c>
      <c r="AC433" s="110">
        <v>17</v>
      </c>
      <c r="AD433" s="110"/>
      <c r="AE433" s="110">
        <f t="shared" si="48"/>
        <v>421</v>
      </c>
      <c r="AF433" s="198">
        <v>1.92</v>
      </c>
      <c r="AG433" s="198">
        <v>6.1680000000000001</v>
      </c>
      <c r="AH433" s="199">
        <v>370</v>
      </c>
      <c r="AI433" s="199">
        <v>391</v>
      </c>
      <c r="AJ433" s="196" t="s">
        <v>92</v>
      </c>
      <c r="AK433" s="196">
        <v>2010</v>
      </c>
      <c r="AL433" s="196">
        <v>2031</v>
      </c>
      <c r="AM433" s="200" t="s">
        <v>914</v>
      </c>
      <c r="AN433" s="200" t="s">
        <v>914</v>
      </c>
      <c r="AO433" s="107">
        <v>40298</v>
      </c>
      <c r="AP433" s="107">
        <v>40441</v>
      </c>
      <c r="AQ433" s="107">
        <v>44895</v>
      </c>
      <c r="AR433" s="107">
        <v>40765</v>
      </c>
      <c r="AS433" s="107"/>
      <c r="AT433" s="107"/>
      <c r="AU433" s="107"/>
      <c r="AV433" s="203" t="s">
        <v>70</v>
      </c>
      <c r="AW433" s="204" t="s">
        <v>70</v>
      </c>
      <c r="AX433" s="107"/>
      <c r="AY433" s="108">
        <v>42436</v>
      </c>
      <c r="AZ433" s="108">
        <v>44904</v>
      </c>
      <c r="BA433" s="107">
        <v>45533</v>
      </c>
      <c r="BB433" s="107"/>
      <c r="BC433" s="107"/>
      <c r="BD433" s="107"/>
      <c r="BE433" s="107"/>
      <c r="BF433" s="107"/>
      <c r="BG433" s="321"/>
      <c r="BH433" s="285" t="s">
        <v>1578</v>
      </c>
    </row>
    <row r="434" spans="1:60" s="61" customFormat="1" ht="20.100000000000001" customHeight="1">
      <c r="A434" s="195">
        <v>429</v>
      </c>
      <c r="B434" s="196" t="s">
        <v>1024</v>
      </c>
      <c r="C434" s="65" t="s">
        <v>68</v>
      </c>
      <c r="D434" s="65" t="s">
        <v>73</v>
      </c>
      <c r="E434" s="65" t="s">
        <v>1067</v>
      </c>
      <c r="F434" s="65" t="s">
        <v>1068</v>
      </c>
      <c r="G434" s="110">
        <v>128359</v>
      </c>
      <c r="H434" s="196">
        <v>1985</v>
      </c>
      <c r="I434" s="110">
        <v>80</v>
      </c>
      <c r="J434" s="110">
        <f>SUM(K434:O434)</f>
        <v>1728</v>
      </c>
      <c r="K434" s="110">
        <v>1728</v>
      </c>
      <c r="L434" s="110"/>
      <c r="M434" s="110"/>
      <c r="N434" s="110"/>
      <c r="O434" s="110"/>
      <c r="P434" s="197">
        <f>SUM(Q434:S434)</f>
        <v>2644</v>
      </c>
      <c r="Q434" s="197">
        <v>1726</v>
      </c>
      <c r="R434" s="197">
        <v>644</v>
      </c>
      <c r="S434" s="197">
        <v>274</v>
      </c>
      <c r="T434" s="197">
        <f t="shared" si="52"/>
        <v>2644</v>
      </c>
      <c r="U434" s="110">
        <f>SUM(V434:Z434)</f>
        <v>2370</v>
      </c>
      <c r="V434" s="110"/>
      <c r="W434" s="110">
        <v>257</v>
      </c>
      <c r="X434" s="110">
        <v>1100</v>
      </c>
      <c r="Y434" s="110">
        <v>581</v>
      </c>
      <c r="Z434" s="110">
        <v>432</v>
      </c>
      <c r="AA434" s="110">
        <f>SUM(AB434:AD434)</f>
        <v>274</v>
      </c>
      <c r="AB434" s="110"/>
      <c r="AC434" s="110">
        <v>274</v>
      </c>
      <c r="AD434" s="110"/>
      <c r="AE434" s="110">
        <f t="shared" si="48"/>
        <v>916</v>
      </c>
      <c r="AF434" s="198">
        <v>0.83</v>
      </c>
      <c r="AG434" s="198">
        <v>2.7</v>
      </c>
      <c r="AH434" s="199">
        <v>1763</v>
      </c>
      <c r="AI434" s="199">
        <v>1716</v>
      </c>
      <c r="AJ434" s="196" t="s">
        <v>92</v>
      </c>
      <c r="AK434" s="196">
        <v>2002</v>
      </c>
      <c r="AL434" s="196">
        <v>2010</v>
      </c>
      <c r="AM434" s="200" t="s">
        <v>914</v>
      </c>
      <c r="AN434" s="200"/>
      <c r="AO434" s="200"/>
      <c r="AP434" s="107">
        <v>38888</v>
      </c>
      <c r="AQ434" s="107">
        <v>39639</v>
      </c>
      <c r="AR434" s="107">
        <v>37900</v>
      </c>
      <c r="AS434" s="107"/>
      <c r="AT434" s="107"/>
      <c r="AU434" s="107">
        <v>37620</v>
      </c>
      <c r="AV434" s="203" t="s">
        <v>70</v>
      </c>
      <c r="AW434" s="204" t="s">
        <v>70</v>
      </c>
      <c r="AX434" s="107"/>
      <c r="AY434" s="107">
        <v>37986</v>
      </c>
      <c r="AZ434" s="107">
        <v>38908</v>
      </c>
      <c r="BA434" s="107">
        <v>39150</v>
      </c>
      <c r="BB434" s="107">
        <v>39384</v>
      </c>
      <c r="BC434" s="107">
        <v>40128</v>
      </c>
      <c r="BD434" s="107">
        <v>40441</v>
      </c>
      <c r="BE434" s="107">
        <v>40471</v>
      </c>
      <c r="BF434" s="107"/>
      <c r="BG434" s="321"/>
      <c r="BH434" s="285" t="s">
        <v>1581</v>
      </c>
    </row>
    <row r="435" spans="1:60" s="77" customFormat="1" ht="20.100000000000001" customHeight="1">
      <c r="A435" s="195">
        <v>430</v>
      </c>
      <c r="B435" s="196" t="s">
        <v>1069</v>
      </c>
      <c r="C435" s="65" t="s">
        <v>72</v>
      </c>
      <c r="D435" s="65" t="s">
        <v>73</v>
      </c>
      <c r="E435" s="65" t="s">
        <v>1070</v>
      </c>
      <c r="F435" s="65" t="s">
        <v>1071</v>
      </c>
      <c r="G435" s="110">
        <v>34471</v>
      </c>
      <c r="H435" s="196">
        <v>1989</v>
      </c>
      <c r="I435" s="110">
        <v>17</v>
      </c>
      <c r="J435" s="110">
        <v>620</v>
      </c>
      <c r="K435" s="110"/>
      <c r="L435" s="208"/>
      <c r="M435" s="110"/>
      <c r="N435" s="110"/>
      <c r="O435" s="110"/>
      <c r="P435" s="197"/>
      <c r="Q435" s="197"/>
      <c r="R435" s="197"/>
      <c r="S435" s="197"/>
      <c r="T435" s="197"/>
      <c r="U435" s="110"/>
      <c r="V435" s="110"/>
      <c r="W435" s="110"/>
      <c r="X435" s="110"/>
      <c r="Y435" s="110"/>
      <c r="Z435" s="110"/>
      <c r="AA435" s="110"/>
      <c r="AB435" s="110"/>
      <c r="AC435" s="110"/>
      <c r="AD435" s="110"/>
      <c r="AE435" s="110"/>
      <c r="AF435" s="198">
        <v>0.86</v>
      </c>
      <c r="AG435" s="198"/>
      <c r="AH435" s="199">
        <v>620</v>
      </c>
      <c r="AI435" s="199"/>
      <c r="AJ435" s="196"/>
      <c r="AK435" s="196"/>
      <c r="AL435" s="196"/>
      <c r="AM435" s="202">
        <v>46001</v>
      </c>
      <c r="AN435" s="202">
        <v>47848</v>
      </c>
      <c r="AO435" s="107"/>
      <c r="AP435" s="107"/>
      <c r="AQ435" s="107"/>
      <c r="AR435" s="107"/>
      <c r="AS435" s="107"/>
      <c r="AT435" s="107"/>
      <c r="AU435" s="107"/>
      <c r="AV435" s="203"/>
      <c r="AW435" s="204"/>
      <c r="AX435" s="107"/>
      <c r="AY435" s="107"/>
      <c r="AZ435" s="107"/>
      <c r="BA435" s="107"/>
      <c r="BB435" s="107"/>
      <c r="BC435" s="107"/>
      <c r="BD435" s="107"/>
      <c r="BE435" s="107"/>
      <c r="BF435" s="107"/>
      <c r="BG435" s="321"/>
      <c r="BH435" s="285" t="s">
        <v>1582</v>
      </c>
    </row>
    <row r="436" spans="1:60" s="77" customFormat="1" ht="20.100000000000001" customHeight="1">
      <c r="A436" s="195">
        <v>431</v>
      </c>
      <c r="B436" s="196" t="s">
        <v>1069</v>
      </c>
      <c r="C436" s="65" t="s">
        <v>62</v>
      </c>
      <c r="D436" s="65" t="s">
        <v>85</v>
      </c>
      <c r="E436" s="65" t="s">
        <v>1072</v>
      </c>
      <c r="F436" s="65" t="s">
        <v>1073</v>
      </c>
      <c r="G436" s="110">
        <v>55057</v>
      </c>
      <c r="H436" s="196" t="s">
        <v>1074</v>
      </c>
      <c r="I436" s="110">
        <v>132</v>
      </c>
      <c r="J436" s="110">
        <v>342</v>
      </c>
      <c r="K436" s="110"/>
      <c r="L436" s="208"/>
      <c r="M436" s="110"/>
      <c r="N436" s="110"/>
      <c r="O436" s="110"/>
      <c r="P436" s="197">
        <v>980</v>
      </c>
      <c r="Q436" s="197" t="s">
        <v>100</v>
      </c>
      <c r="R436" s="197" t="s">
        <v>100</v>
      </c>
      <c r="S436" s="197">
        <v>88</v>
      </c>
      <c r="T436" s="197">
        <v>980</v>
      </c>
      <c r="U436" s="110">
        <v>892</v>
      </c>
      <c r="V436" s="110">
        <v>24</v>
      </c>
      <c r="W436" s="110">
        <v>482</v>
      </c>
      <c r="X436" s="110">
        <v>386</v>
      </c>
      <c r="Y436" s="110"/>
      <c r="Z436" s="110"/>
      <c r="AA436" s="110">
        <v>88</v>
      </c>
      <c r="AB436" s="110">
        <v>42</v>
      </c>
      <c r="AC436" s="110"/>
      <c r="AD436" s="110">
        <v>46</v>
      </c>
      <c r="AE436" s="110">
        <f t="shared" ref="AE436:AE467" si="53">T436-J436</f>
        <v>638</v>
      </c>
      <c r="AF436" s="198"/>
      <c r="AG436" s="198">
        <v>2.2200000000000002</v>
      </c>
      <c r="AH436" s="199">
        <v>372</v>
      </c>
      <c r="AI436" s="199"/>
      <c r="AJ436" s="196" t="s">
        <v>92</v>
      </c>
      <c r="AK436" s="196"/>
      <c r="AL436" s="196"/>
      <c r="AM436" s="202">
        <v>46001</v>
      </c>
      <c r="AN436" s="200" t="s">
        <v>914</v>
      </c>
      <c r="AO436" s="108">
        <v>46003</v>
      </c>
      <c r="AP436" s="107">
        <v>46003</v>
      </c>
      <c r="AQ436" s="107"/>
      <c r="AR436" s="107"/>
      <c r="AS436" s="107"/>
      <c r="AT436" s="107"/>
      <c r="AU436" s="107"/>
      <c r="AV436" s="203"/>
      <c r="AW436" s="204"/>
      <c r="AX436" s="107"/>
      <c r="AY436" s="107"/>
      <c r="AZ436" s="107"/>
      <c r="BA436" s="107"/>
      <c r="BB436" s="107"/>
      <c r="BC436" s="107"/>
      <c r="BD436" s="107"/>
      <c r="BE436" s="107"/>
      <c r="BF436" s="107"/>
      <c r="BG436" s="321"/>
      <c r="BH436" s="285" t="s">
        <v>1583</v>
      </c>
    </row>
    <row r="437" spans="1:60" s="77" customFormat="1" ht="20.100000000000001" customHeight="1">
      <c r="A437" s="195">
        <v>432</v>
      </c>
      <c r="B437" s="196" t="s">
        <v>1069</v>
      </c>
      <c r="C437" s="65" t="s">
        <v>62</v>
      </c>
      <c r="D437" s="65" t="s">
        <v>73</v>
      </c>
      <c r="E437" s="65" t="s">
        <v>1508</v>
      </c>
      <c r="F437" s="65" t="s">
        <v>1075</v>
      </c>
      <c r="G437" s="110">
        <v>16095</v>
      </c>
      <c r="H437" s="196">
        <v>1988</v>
      </c>
      <c r="I437" s="110">
        <v>10</v>
      </c>
      <c r="J437" s="110">
        <v>320</v>
      </c>
      <c r="K437" s="110"/>
      <c r="L437" s="208">
        <v>320</v>
      </c>
      <c r="M437" s="110"/>
      <c r="N437" s="110"/>
      <c r="O437" s="110"/>
      <c r="P437" s="197">
        <v>485</v>
      </c>
      <c r="Q437" s="197">
        <v>291</v>
      </c>
      <c r="R437" s="197">
        <v>194</v>
      </c>
      <c r="S437" s="197"/>
      <c r="T437" s="197">
        <v>485</v>
      </c>
      <c r="U437" s="110"/>
      <c r="V437" s="110"/>
      <c r="W437" s="110">
        <v>277</v>
      </c>
      <c r="X437" s="110">
        <v>208</v>
      </c>
      <c r="Y437" s="110"/>
      <c r="Z437" s="110"/>
      <c r="AA437" s="110"/>
      <c r="AB437" s="110"/>
      <c r="AC437" s="110"/>
      <c r="AD437" s="110"/>
      <c r="AE437" s="110">
        <f t="shared" si="53"/>
        <v>165</v>
      </c>
      <c r="AF437" s="198">
        <v>0.99</v>
      </c>
      <c r="AG437" s="198" t="s">
        <v>1076</v>
      </c>
      <c r="AH437" s="199">
        <v>321</v>
      </c>
      <c r="AI437" s="199"/>
      <c r="AJ437" s="196" t="s">
        <v>92</v>
      </c>
      <c r="AK437" s="196"/>
      <c r="AL437" s="196"/>
      <c r="AM437" s="202">
        <v>46001</v>
      </c>
      <c r="AN437" s="200" t="s">
        <v>914</v>
      </c>
      <c r="AO437" s="108">
        <v>46094</v>
      </c>
      <c r="AP437" s="108">
        <v>46094</v>
      </c>
      <c r="AQ437" s="107"/>
      <c r="AR437" s="107">
        <v>45924</v>
      </c>
      <c r="AS437" s="107"/>
      <c r="AT437" s="107"/>
      <c r="AU437" s="107">
        <v>45309</v>
      </c>
      <c r="AV437" s="203" t="s">
        <v>82</v>
      </c>
      <c r="AW437" s="204"/>
      <c r="AX437" s="107"/>
      <c r="AY437" s="107"/>
      <c r="AZ437" s="107"/>
      <c r="BA437" s="107"/>
      <c r="BB437" s="107"/>
      <c r="BC437" s="107"/>
      <c r="BD437" s="107"/>
      <c r="BE437" s="107"/>
      <c r="BF437" s="107"/>
      <c r="BG437" s="321"/>
      <c r="BH437" s="285" t="s">
        <v>1584</v>
      </c>
    </row>
    <row r="438" spans="1:60" s="61" customFormat="1" ht="20.100000000000001" customHeight="1">
      <c r="A438" s="195">
        <v>433</v>
      </c>
      <c r="B438" s="196" t="s">
        <v>1069</v>
      </c>
      <c r="C438" s="65" t="s">
        <v>66</v>
      </c>
      <c r="D438" s="65" t="s">
        <v>85</v>
      </c>
      <c r="E438" s="65" t="s">
        <v>1077</v>
      </c>
      <c r="F438" s="65" t="s">
        <v>1078</v>
      </c>
      <c r="G438" s="110">
        <v>5330</v>
      </c>
      <c r="H438" s="196">
        <v>1978</v>
      </c>
      <c r="I438" s="110">
        <v>11</v>
      </c>
      <c r="J438" s="110">
        <f>SUM(K438:O438)</f>
        <v>110</v>
      </c>
      <c r="K438" s="110"/>
      <c r="L438" s="110">
        <v>110</v>
      </c>
      <c r="M438" s="110"/>
      <c r="N438" s="110"/>
      <c r="O438" s="110"/>
      <c r="P438" s="197">
        <v>321</v>
      </c>
      <c r="Q438" s="197">
        <v>105</v>
      </c>
      <c r="R438" s="197">
        <v>216</v>
      </c>
      <c r="S438" s="197"/>
      <c r="T438" s="197">
        <f t="shared" ref="T438:T479" si="54">U438+AA438</f>
        <v>321</v>
      </c>
      <c r="U438" s="110">
        <f>SUM(V438:Z438)</f>
        <v>321</v>
      </c>
      <c r="V438" s="110"/>
      <c r="W438" s="110"/>
      <c r="X438" s="110">
        <v>321</v>
      </c>
      <c r="Y438" s="110"/>
      <c r="Z438" s="110"/>
      <c r="AA438" s="110"/>
      <c r="AB438" s="110"/>
      <c r="AC438" s="110"/>
      <c r="AD438" s="110"/>
      <c r="AE438" s="110">
        <f t="shared" si="53"/>
        <v>211</v>
      </c>
      <c r="AF438" s="198">
        <v>6</v>
      </c>
      <c r="AG438" s="198">
        <v>6.4462000000000002</v>
      </c>
      <c r="AH438" s="199">
        <v>105</v>
      </c>
      <c r="AI438" s="199"/>
      <c r="AJ438" s="196" t="s">
        <v>14</v>
      </c>
      <c r="AK438" s="196">
        <v>2016</v>
      </c>
      <c r="AL438" s="196">
        <v>2030</v>
      </c>
      <c r="AM438" s="202">
        <v>46001</v>
      </c>
      <c r="AN438" s="200" t="s">
        <v>914</v>
      </c>
      <c r="AO438" s="200"/>
      <c r="AP438" s="107">
        <v>42963</v>
      </c>
      <c r="AQ438" s="107"/>
      <c r="AR438" s="107"/>
      <c r="AS438" s="107"/>
      <c r="AT438" s="107"/>
      <c r="AU438" s="107"/>
      <c r="AV438" s="203" t="s">
        <v>70</v>
      </c>
      <c r="AW438" s="204" t="s">
        <v>70</v>
      </c>
      <c r="AX438" s="107"/>
      <c r="AY438" s="107"/>
      <c r="AZ438" s="107">
        <v>43355</v>
      </c>
      <c r="BA438" s="107">
        <v>44035</v>
      </c>
      <c r="BB438" s="107"/>
      <c r="BC438" s="107"/>
      <c r="BD438" s="107"/>
      <c r="BE438" s="107"/>
      <c r="BF438" s="107"/>
      <c r="BG438" s="321"/>
      <c r="BH438" s="285" t="s">
        <v>1584</v>
      </c>
    </row>
    <row r="439" spans="1:60" s="61" customFormat="1" ht="19.5" customHeight="1">
      <c r="A439" s="195">
        <v>434</v>
      </c>
      <c r="B439" s="196" t="s">
        <v>1069</v>
      </c>
      <c r="C439" s="65" t="s">
        <v>68</v>
      </c>
      <c r="D439" s="65" t="s">
        <v>112</v>
      </c>
      <c r="E439" s="65" t="s">
        <v>1079</v>
      </c>
      <c r="F439" s="65" t="s">
        <v>1080</v>
      </c>
      <c r="G439" s="110">
        <v>56782</v>
      </c>
      <c r="H439" s="196" t="s">
        <v>1081</v>
      </c>
      <c r="I439" s="110">
        <v>187</v>
      </c>
      <c r="J439" s="110">
        <f>SUM(K439:O439)</f>
        <v>433</v>
      </c>
      <c r="K439" s="110">
        <v>433</v>
      </c>
      <c r="L439" s="208" t="s">
        <v>115</v>
      </c>
      <c r="M439" s="110"/>
      <c r="N439" s="110"/>
      <c r="O439" s="110"/>
      <c r="P439" s="197"/>
      <c r="Q439" s="197"/>
      <c r="R439" s="197"/>
      <c r="S439" s="197"/>
      <c r="T439" s="197">
        <f t="shared" si="54"/>
        <v>0</v>
      </c>
      <c r="U439" s="110"/>
      <c r="V439" s="110" t="s">
        <v>116</v>
      </c>
      <c r="W439" s="110"/>
      <c r="X439" s="110"/>
      <c r="Y439" s="110"/>
      <c r="Z439" s="110"/>
      <c r="AA439" s="110"/>
      <c r="AB439" s="110"/>
      <c r="AC439" s="110"/>
      <c r="AD439" s="110"/>
      <c r="AE439" s="110">
        <f t="shared" si="53"/>
        <v>-433</v>
      </c>
      <c r="AF439" s="198" t="s">
        <v>1082</v>
      </c>
      <c r="AG439" s="198"/>
      <c r="AH439" s="199">
        <v>391</v>
      </c>
      <c r="AI439" s="199"/>
      <c r="AJ439" s="196" t="s">
        <v>117</v>
      </c>
      <c r="AK439" s="196">
        <v>2013</v>
      </c>
      <c r="AL439" s="196">
        <v>2020</v>
      </c>
      <c r="AM439" s="202">
        <v>46001</v>
      </c>
      <c r="AN439" s="200" t="s">
        <v>914</v>
      </c>
      <c r="AO439" s="107">
        <v>42123</v>
      </c>
      <c r="AP439" s="107">
        <v>42377</v>
      </c>
      <c r="AQ439" s="107"/>
      <c r="AR439" s="107"/>
      <c r="AS439" s="107"/>
      <c r="AT439" s="107"/>
      <c r="AU439" s="107"/>
      <c r="AV439" s="203" t="s">
        <v>70</v>
      </c>
      <c r="AW439" s="204" t="s">
        <v>70</v>
      </c>
      <c r="AX439" s="107"/>
      <c r="AY439" s="107"/>
      <c r="AZ439" s="107"/>
      <c r="BA439" s="107"/>
      <c r="BB439" s="107">
        <v>43069</v>
      </c>
      <c r="BC439" s="107"/>
      <c r="BD439" s="107">
        <v>44196</v>
      </c>
      <c r="BE439" s="107"/>
      <c r="BF439" s="107"/>
      <c r="BG439" s="321"/>
      <c r="BH439" s="285" t="s">
        <v>1583</v>
      </c>
    </row>
    <row r="440" spans="1:60" s="77" customFormat="1" ht="20.100000000000001" customHeight="1">
      <c r="A440" s="195">
        <v>435</v>
      </c>
      <c r="B440" s="196" t="s">
        <v>1083</v>
      </c>
      <c r="C440" s="65" t="s">
        <v>66</v>
      </c>
      <c r="D440" s="65" t="s">
        <v>85</v>
      </c>
      <c r="E440" s="65" t="s">
        <v>1084</v>
      </c>
      <c r="F440" s="65" t="s">
        <v>1085</v>
      </c>
      <c r="G440" s="110">
        <v>32400</v>
      </c>
      <c r="H440" s="196">
        <v>1986</v>
      </c>
      <c r="I440" s="110">
        <v>62</v>
      </c>
      <c r="J440" s="110">
        <f>SUM(K440:O440)</f>
        <v>284</v>
      </c>
      <c r="K440" s="110"/>
      <c r="L440" s="110">
        <v>209</v>
      </c>
      <c r="M440" s="110">
        <v>38</v>
      </c>
      <c r="N440" s="110">
        <v>37</v>
      </c>
      <c r="O440" s="110"/>
      <c r="P440" s="197">
        <v>616</v>
      </c>
      <c r="Q440" s="197">
        <v>220</v>
      </c>
      <c r="R440" s="197">
        <v>365</v>
      </c>
      <c r="S440" s="197">
        <v>31</v>
      </c>
      <c r="T440" s="197">
        <f t="shared" si="54"/>
        <v>616</v>
      </c>
      <c r="U440" s="110">
        <v>585</v>
      </c>
      <c r="V440" s="110"/>
      <c r="W440" s="110">
        <v>302</v>
      </c>
      <c r="X440" s="110">
        <v>283</v>
      </c>
      <c r="Y440" s="110"/>
      <c r="Z440" s="110"/>
      <c r="AA440" s="110">
        <v>31</v>
      </c>
      <c r="AB440" s="110">
        <v>31</v>
      </c>
      <c r="AC440" s="110"/>
      <c r="AD440" s="110"/>
      <c r="AE440" s="110">
        <f t="shared" si="53"/>
        <v>332</v>
      </c>
      <c r="AF440" s="198">
        <v>2</v>
      </c>
      <c r="AG440" s="198">
        <v>2.3548</v>
      </c>
      <c r="AH440" s="199">
        <v>220</v>
      </c>
      <c r="AI440" s="199">
        <v>220</v>
      </c>
      <c r="AJ440" s="65" t="s">
        <v>92</v>
      </c>
      <c r="AK440" s="196">
        <v>2013</v>
      </c>
      <c r="AL440" s="196">
        <v>2031</v>
      </c>
      <c r="AM440" s="200" t="s">
        <v>914</v>
      </c>
      <c r="AN440" s="202" t="s">
        <v>914</v>
      </c>
      <c r="AO440" s="107"/>
      <c r="AP440" s="107">
        <v>41395</v>
      </c>
      <c r="AQ440" s="107">
        <v>43756</v>
      </c>
      <c r="AR440" s="107">
        <v>41593</v>
      </c>
      <c r="AS440" s="107"/>
      <c r="AT440" s="107"/>
      <c r="AU440" s="107"/>
      <c r="AV440" s="107" t="s">
        <v>70</v>
      </c>
      <c r="AW440" s="196" t="s">
        <v>70</v>
      </c>
      <c r="AX440" s="107"/>
      <c r="AY440" s="107">
        <v>43199</v>
      </c>
      <c r="AZ440" s="108">
        <v>44196</v>
      </c>
      <c r="BA440" s="107">
        <v>44685</v>
      </c>
      <c r="BB440" s="107"/>
      <c r="BC440" s="107"/>
      <c r="BD440" s="107"/>
      <c r="BE440" s="107"/>
      <c r="BF440" s="107"/>
      <c r="BG440" s="321"/>
      <c r="BH440" s="285" t="s">
        <v>1585</v>
      </c>
    </row>
    <row r="441" spans="1:60" s="61" customFormat="1" ht="20.100000000000001" customHeight="1">
      <c r="A441" s="195">
        <v>436</v>
      </c>
      <c r="B441" s="196" t="s">
        <v>1086</v>
      </c>
      <c r="C441" s="65" t="s">
        <v>72</v>
      </c>
      <c r="D441" s="65" t="s">
        <v>73</v>
      </c>
      <c r="E441" s="65" t="s">
        <v>1499</v>
      </c>
      <c r="F441" s="65" t="s">
        <v>1500</v>
      </c>
      <c r="G441" s="110">
        <v>23601</v>
      </c>
      <c r="H441" s="196">
        <v>1988</v>
      </c>
      <c r="I441" s="110">
        <v>11</v>
      </c>
      <c r="J441" s="110"/>
      <c r="K441" s="208"/>
      <c r="L441" s="110">
        <v>440</v>
      </c>
      <c r="M441" s="110"/>
      <c r="N441" s="110"/>
      <c r="O441" s="110"/>
      <c r="P441" s="197"/>
      <c r="Q441" s="197"/>
      <c r="R441" s="197"/>
      <c r="S441" s="197"/>
      <c r="T441" s="197">
        <f t="shared" si="54"/>
        <v>0</v>
      </c>
      <c r="U441" s="110"/>
      <c r="V441" s="110"/>
      <c r="W441" s="110"/>
      <c r="X441" s="110"/>
      <c r="Y441" s="110"/>
      <c r="Z441" s="110"/>
      <c r="AA441" s="110"/>
      <c r="AB441" s="110"/>
      <c r="AC441" s="110"/>
      <c r="AD441" s="110"/>
      <c r="AE441" s="110">
        <f t="shared" si="53"/>
        <v>0</v>
      </c>
      <c r="AF441" s="198">
        <v>0.96399999999999997</v>
      </c>
      <c r="AG441" s="198">
        <v>2.5</v>
      </c>
      <c r="AH441" s="199">
        <v>417</v>
      </c>
      <c r="AI441" s="199"/>
      <c r="AJ441" s="65"/>
      <c r="AK441" s="196"/>
      <c r="AL441" s="196"/>
      <c r="AM441" s="200"/>
      <c r="AN441" s="200"/>
      <c r="AO441" s="107"/>
      <c r="AP441" s="107"/>
      <c r="AQ441" s="107"/>
      <c r="AR441" s="107"/>
      <c r="AS441" s="108">
        <v>44545</v>
      </c>
      <c r="AT441" s="107"/>
      <c r="AU441" s="107">
        <v>45096</v>
      </c>
      <c r="AV441" s="203" t="s">
        <v>82</v>
      </c>
      <c r="AW441" s="204"/>
      <c r="AX441" s="107"/>
      <c r="AY441" s="107"/>
      <c r="AZ441" s="107"/>
      <c r="BA441" s="107"/>
      <c r="BB441" s="107"/>
      <c r="BC441" s="107"/>
      <c r="BD441" s="107"/>
      <c r="BE441" s="107"/>
      <c r="BF441" s="107"/>
      <c r="BG441" s="321"/>
      <c r="BH441" s="285" t="s">
        <v>1586</v>
      </c>
    </row>
    <row r="442" spans="1:60" s="61" customFormat="1" ht="20.100000000000001" customHeight="1">
      <c r="A442" s="195">
        <v>437</v>
      </c>
      <c r="B442" s="196" t="s">
        <v>1086</v>
      </c>
      <c r="C442" s="65" t="s">
        <v>72</v>
      </c>
      <c r="D442" s="65" t="s">
        <v>73</v>
      </c>
      <c r="E442" s="65" t="s">
        <v>1501</v>
      </c>
      <c r="F442" s="65" t="s">
        <v>1502</v>
      </c>
      <c r="G442" s="110">
        <v>22764</v>
      </c>
      <c r="H442" s="196">
        <v>1987</v>
      </c>
      <c r="I442" s="110"/>
      <c r="J442" s="110"/>
      <c r="K442" s="208"/>
      <c r="L442" s="110"/>
      <c r="M442" s="110"/>
      <c r="N442" s="110"/>
      <c r="O442" s="110"/>
      <c r="P442" s="197"/>
      <c r="Q442" s="197"/>
      <c r="R442" s="197"/>
      <c r="S442" s="197"/>
      <c r="T442" s="197">
        <f t="shared" si="54"/>
        <v>0</v>
      </c>
      <c r="U442" s="110"/>
      <c r="V442" s="110"/>
      <c r="W442" s="110"/>
      <c r="X442" s="110"/>
      <c r="Y442" s="110"/>
      <c r="Z442" s="110"/>
      <c r="AA442" s="110"/>
      <c r="AB442" s="110"/>
      <c r="AC442" s="110"/>
      <c r="AD442" s="110"/>
      <c r="AE442" s="110">
        <f t="shared" si="53"/>
        <v>0</v>
      </c>
      <c r="AF442" s="198">
        <v>0.82820000000000005</v>
      </c>
      <c r="AG442" s="198">
        <v>2.5</v>
      </c>
      <c r="AH442" s="199">
        <v>381</v>
      </c>
      <c r="AI442" s="199"/>
      <c r="AJ442" s="65"/>
      <c r="AK442" s="196"/>
      <c r="AL442" s="196"/>
      <c r="AM442" s="200"/>
      <c r="AN442" s="200"/>
      <c r="AO442" s="107"/>
      <c r="AP442" s="107"/>
      <c r="AQ442" s="107"/>
      <c r="AR442" s="107"/>
      <c r="AS442" s="107">
        <v>44607</v>
      </c>
      <c r="AT442" s="107"/>
      <c r="AU442" s="107">
        <v>45086</v>
      </c>
      <c r="AV442" s="203" t="s">
        <v>82</v>
      </c>
      <c r="AW442" s="204"/>
      <c r="AX442" s="107"/>
      <c r="AY442" s="107"/>
      <c r="AZ442" s="107"/>
      <c r="BA442" s="107"/>
      <c r="BB442" s="107"/>
      <c r="BC442" s="107"/>
      <c r="BD442" s="107"/>
      <c r="BE442" s="107"/>
      <c r="BF442" s="107"/>
      <c r="BG442" s="321"/>
      <c r="BH442" s="285" t="s">
        <v>1587</v>
      </c>
    </row>
    <row r="443" spans="1:60" s="61" customFormat="1" ht="20.100000000000001" customHeight="1">
      <c r="A443" s="195">
        <v>438</v>
      </c>
      <c r="B443" s="196" t="s">
        <v>1086</v>
      </c>
      <c r="C443" s="65" t="s">
        <v>72</v>
      </c>
      <c r="D443" s="65" t="s">
        <v>73</v>
      </c>
      <c r="E443" s="65" t="s">
        <v>1503</v>
      </c>
      <c r="F443" s="65" t="s">
        <v>1504</v>
      </c>
      <c r="G443" s="110">
        <v>39793</v>
      </c>
      <c r="H443" s="196">
        <v>1991</v>
      </c>
      <c r="I443" s="110"/>
      <c r="J443" s="110"/>
      <c r="K443" s="208"/>
      <c r="L443" s="110"/>
      <c r="M443" s="110"/>
      <c r="N443" s="110"/>
      <c r="O443" s="110"/>
      <c r="P443" s="197"/>
      <c r="Q443" s="197"/>
      <c r="R443" s="197"/>
      <c r="S443" s="197"/>
      <c r="T443" s="197">
        <f t="shared" si="54"/>
        <v>0</v>
      </c>
      <c r="U443" s="110"/>
      <c r="V443" s="110"/>
      <c r="W443" s="110"/>
      <c r="X443" s="110"/>
      <c r="Y443" s="110"/>
      <c r="Z443" s="110"/>
      <c r="AA443" s="110"/>
      <c r="AB443" s="110"/>
      <c r="AC443" s="110"/>
      <c r="AD443" s="110"/>
      <c r="AE443" s="110">
        <f t="shared" si="53"/>
        <v>0</v>
      </c>
      <c r="AF443" s="198">
        <v>1.1024</v>
      </c>
      <c r="AG443" s="198"/>
      <c r="AH443" s="199"/>
      <c r="AI443" s="199"/>
      <c r="AJ443" s="65"/>
      <c r="AK443" s="196"/>
      <c r="AL443" s="196"/>
      <c r="AM443" s="200"/>
      <c r="AN443" s="200"/>
      <c r="AO443" s="107"/>
      <c r="AP443" s="107"/>
      <c r="AQ443" s="107"/>
      <c r="AR443" s="107"/>
      <c r="AS443" s="107">
        <v>45141</v>
      </c>
      <c r="AT443" s="107"/>
      <c r="AU443" s="107"/>
      <c r="AV443" s="203"/>
      <c r="AW443" s="204"/>
      <c r="AX443" s="107"/>
      <c r="AY443" s="107"/>
      <c r="AZ443" s="107"/>
      <c r="BA443" s="107"/>
      <c r="BB443" s="107"/>
      <c r="BC443" s="107"/>
      <c r="BD443" s="107"/>
      <c r="BE443" s="107"/>
      <c r="BF443" s="107"/>
      <c r="BG443" s="321"/>
      <c r="BH443" s="285" t="s">
        <v>1587</v>
      </c>
    </row>
    <row r="444" spans="1:60" s="61" customFormat="1" ht="20.100000000000001" customHeight="1">
      <c r="A444" s="195">
        <v>439</v>
      </c>
      <c r="B444" s="196" t="s">
        <v>1087</v>
      </c>
      <c r="C444" s="65" t="s">
        <v>72</v>
      </c>
      <c r="D444" s="65" t="s">
        <v>73</v>
      </c>
      <c r="E444" s="65" t="s">
        <v>1088</v>
      </c>
      <c r="F444" s="65" t="s">
        <v>1089</v>
      </c>
      <c r="G444" s="110">
        <v>17906</v>
      </c>
      <c r="H444" s="196">
        <v>1991</v>
      </c>
      <c r="I444" s="110">
        <v>3</v>
      </c>
      <c r="J444" s="110">
        <v>576</v>
      </c>
      <c r="K444" s="110"/>
      <c r="L444" s="110"/>
      <c r="M444" s="110">
        <v>576</v>
      </c>
      <c r="N444" s="110"/>
      <c r="O444" s="110"/>
      <c r="P444" s="197"/>
      <c r="Q444" s="197"/>
      <c r="R444" s="197"/>
      <c r="S444" s="197"/>
      <c r="T444" s="197">
        <f t="shared" si="54"/>
        <v>0</v>
      </c>
      <c r="U444" s="110"/>
      <c r="V444" s="110"/>
      <c r="W444" s="110"/>
      <c r="X444" s="110"/>
      <c r="Y444" s="110"/>
      <c r="Z444" s="110"/>
      <c r="AA444" s="110"/>
      <c r="AB444" s="110"/>
      <c r="AC444" s="110"/>
      <c r="AD444" s="110"/>
      <c r="AE444" s="110">
        <f t="shared" si="53"/>
        <v>-576</v>
      </c>
      <c r="AF444" s="224">
        <v>2.9851000000000001</v>
      </c>
      <c r="AG444" s="198">
        <v>2.7</v>
      </c>
      <c r="AH444" s="199"/>
      <c r="AI444" s="199"/>
      <c r="AJ444" s="196"/>
      <c r="AK444" s="196"/>
      <c r="AL444" s="196"/>
      <c r="AM444" s="202">
        <v>44571</v>
      </c>
      <c r="AN444" s="202">
        <v>46022</v>
      </c>
      <c r="AO444" s="107"/>
      <c r="AP444" s="107"/>
      <c r="AQ444" s="107"/>
      <c r="AR444" s="107"/>
      <c r="AS444" s="107">
        <v>44893</v>
      </c>
      <c r="AT444" s="107"/>
      <c r="AU444" s="107"/>
      <c r="AV444" s="107"/>
      <c r="AW444" s="196" t="s">
        <v>70</v>
      </c>
      <c r="AX444" s="107"/>
      <c r="AY444" s="107"/>
      <c r="AZ444" s="107"/>
      <c r="BA444" s="107"/>
      <c r="BB444" s="107"/>
      <c r="BC444" s="107"/>
      <c r="BD444" s="107"/>
      <c r="BE444" s="107"/>
      <c r="BF444" s="107"/>
      <c r="BG444" s="321"/>
      <c r="BH444" s="285" t="s">
        <v>1588</v>
      </c>
    </row>
    <row r="445" spans="1:60" s="61" customFormat="1" ht="20.100000000000001" customHeight="1">
      <c r="A445" s="195">
        <v>440</v>
      </c>
      <c r="B445" s="196" t="s">
        <v>1087</v>
      </c>
      <c r="C445" s="65" t="s">
        <v>88</v>
      </c>
      <c r="D445" s="65" t="s">
        <v>73</v>
      </c>
      <c r="E445" s="65" t="s">
        <v>1090</v>
      </c>
      <c r="F445" s="65" t="s">
        <v>1091</v>
      </c>
      <c r="G445" s="262">
        <v>29532</v>
      </c>
      <c r="H445" s="196" t="s">
        <v>1092</v>
      </c>
      <c r="I445" s="110">
        <v>7</v>
      </c>
      <c r="J445" s="110">
        <v>684</v>
      </c>
      <c r="K445" s="110"/>
      <c r="L445" s="110"/>
      <c r="M445" s="110">
        <v>624</v>
      </c>
      <c r="N445" s="110">
        <v>60</v>
      </c>
      <c r="O445" s="110"/>
      <c r="P445" s="197"/>
      <c r="Q445" s="197"/>
      <c r="R445" s="197"/>
      <c r="S445" s="197"/>
      <c r="T445" s="197">
        <f t="shared" si="54"/>
        <v>0</v>
      </c>
      <c r="U445" s="110"/>
      <c r="V445" s="110"/>
      <c r="W445" s="110"/>
      <c r="X445" s="110"/>
      <c r="Y445" s="110"/>
      <c r="Z445" s="110"/>
      <c r="AA445" s="110"/>
      <c r="AB445" s="110"/>
      <c r="AC445" s="110"/>
      <c r="AD445" s="110"/>
      <c r="AE445" s="110">
        <f t="shared" si="53"/>
        <v>-684</v>
      </c>
      <c r="AF445" s="224">
        <v>2.4708000000000001</v>
      </c>
      <c r="AG445" s="198">
        <v>2.7</v>
      </c>
      <c r="AH445" s="199">
        <v>732</v>
      </c>
      <c r="AI445" s="199"/>
      <c r="AJ445" s="196"/>
      <c r="AK445" s="196"/>
      <c r="AL445" s="196"/>
      <c r="AM445" s="202">
        <v>44571</v>
      </c>
      <c r="AN445" s="202">
        <v>46387</v>
      </c>
      <c r="AO445" s="107"/>
      <c r="AP445" s="107"/>
      <c r="AQ445" s="107"/>
      <c r="AR445" s="107">
        <v>46127</v>
      </c>
      <c r="AS445" s="107">
        <v>45007</v>
      </c>
      <c r="AT445" s="107"/>
      <c r="AU445" s="107">
        <v>45371</v>
      </c>
      <c r="AV445" s="107" t="s">
        <v>82</v>
      </c>
      <c r="AW445" s="196" t="s">
        <v>70</v>
      </c>
      <c r="AX445" s="107"/>
      <c r="AY445" s="107"/>
      <c r="AZ445" s="107"/>
      <c r="BA445" s="107"/>
      <c r="BB445" s="107"/>
      <c r="BC445" s="107"/>
      <c r="BD445" s="107"/>
      <c r="BE445" s="107"/>
      <c r="BF445" s="107"/>
      <c r="BG445" s="321"/>
      <c r="BH445" s="285" t="s">
        <v>1588</v>
      </c>
    </row>
    <row r="446" spans="1:60" s="61" customFormat="1" ht="20.100000000000001" customHeight="1">
      <c r="A446" s="195">
        <v>441</v>
      </c>
      <c r="B446" s="196" t="s">
        <v>1087</v>
      </c>
      <c r="C446" s="65" t="s">
        <v>72</v>
      </c>
      <c r="D446" s="65" t="s">
        <v>73</v>
      </c>
      <c r="E446" s="65" t="s">
        <v>1093</v>
      </c>
      <c r="F446" s="65" t="s">
        <v>1094</v>
      </c>
      <c r="G446" s="110">
        <v>35210</v>
      </c>
      <c r="H446" s="196">
        <v>1994</v>
      </c>
      <c r="I446" s="110">
        <v>7</v>
      </c>
      <c r="J446" s="110">
        <v>814</v>
      </c>
      <c r="K446" s="110"/>
      <c r="L446" s="110">
        <v>412</v>
      </c>
      <c r="M446" s="110">
        <v>402</v>
      </c>
      <c r="N446" s="110"/>
      <c r="O446" s="110"/>
      <c r="P446" s="197"/>
      <c r="Q446" s="197"/>
      <c r="R446" s="197"/>
      <c r="S446" s="197"/>
      <c r="T446" s="197">
        <f t="shared" si="54"/>
        <v>0</v>
      </c>
      <c r="U446" s="110"/>
      <c r="V446" s="110"/>
      <c r="W446" s="110"/>
      <c r="X446" s="110"/>
      <c r="Y446" s="110"/>
      <c r="Z446" s="110"/>
      <c r="AA446" s="110"/>
      <c r="AB446" s="110"/>
      <c r="AC446" s="110"/>
      <c r="AD446" s="110"/>
      <c r="AE446" s="110">
        <f t="shared" si="53"/>
        <v>-814</v>
      </c>
      <c r="AF446" s="224" t="s">
        <v>1095</v>
      </c>
      <c r="AG446" s="198">
        <v>2.7</v>
      </c>
      <c r="AH446" s="199"/>
      <c r="AI446" s="199"/>
      <c r="AJ446" s="196"/>
      <c r="AK446" s="196"/>
      <c r="AL446" s="196"/>
      <c r="AM446" s="202">
        <v>44571</v>
      </c>
      <c r="AN446" s="202">
        <v>46752</v>
      </c>
      <c r="AO446" s="107"/>
      <c r="AP446" s="107"/>
      <c r="AQ446" s="107"/>
      <c r="AR446" s="107"/>
      <c r="AS446" s="107"/>
      <c r="AT446" s="107"/>
      <c r="AU446" s="107"/>
      <c r="AV446" s="107"/>
      <c r="AW446" s="196" t="s">
        <v>70</v>
      </c>
      <c r="AX446" s="107"/>
      <c r="AY446" s="107"/>
      <c r="AZ446" s="107"/>
      <c r="BA446" s="107"/>
      <c r="BB446" s="107"/>
      <c r="BC446" s="107"/>
      <c r="BD446" s="107"/>
      <c r="BE446" s="107"/>
      <c r="BF446" s="107"/>
      <c r="BG446" s="321"/>
      <c r="BH446" s="285" t="s">
        <v>1588</v>
      </c>
    </row>
    <row r="447" spans="1:60" s="61" customFormat="1" ht="20.100000000000001" customHeight="1">
      <c r="A447" s="195">
        <v>442</v>
      </c>
      <c r="B447" s="196" t="s">
        <v>1087</v>
      </c>
      <c r="C447" s="65" t="s">
        <v>88</v>
      </c>
      <c r="D447" s="65" t="s">
        <v>73</v>
      </c>
      <c r="E447" s="65" t="s">
        <v>1096</v>
      </c>
      <c r="F447" s="65" t="s">
        <v>1097</v>
      </c>
      <c r="G447" s="262">
        <v>36339.300000000003</v>
      </c>
      <c r="H447" s="196">
        <v>1994</v>
      </c>
      <c r="I447" s="110">
        <v>8</v>
      </c>
      <c r="J447" s="110">
        <v>504</v>
      </c>
      <c r="K447" s="110"/>
      <c r="L447" s="110"/>
      <c r="M447" s="110"/>
      <c r="N447" s="110">
        <v>504</v>
      </c>
      <c r="O447" s="110"/>
      <c r="P447" s="197"/>
      <c r="Q447" s="197"/>
      <c r="R447" s="197"/>
      <c r="S447" s="197"/>
      <c r="T447" s="197">
        <f t="shared" si="54"/>
        <v>0</v>
      </c>
      <c r="U447" s="110"/>
      <c r="V447" s="110"/>
      <c r="W447" s="110"/>
      <c r="X447" s="110"/>
      <c r="Y447" s="110"/>
      <c r="Z447" s="110"/>
      <c r="AA447" s="110"/>
      <c r="AB447" s="110"/>
      <c r="AC447" s="110"/>
      <c r="AD447" s="110"/>
      <c r="AE447" s="110">
        <f t="shared" si="53"/>
        <v>-504</v>
      </c>
      <c r="AF447" s="224" t="s">
        <v>1098</v>
      </c>
      <c r="AG447" s="198">
        <v>2.7</v>
      </c>
      <c r="AH447" s="199">
        <v>526</v>
      </c>
      <c r="AI447" s="199"/>
      <c r="AJ447" s="196"/>
      <c r="AK447" s="196"/>
      <c r="AL447" s="196"/>
      <c r="AM447" s="202">
        <v>44571</v>
      </c>
      <c r="AN447" s="202">
        <v>46752</v>
      </c>
      <c r="AO447" s="107"/>
      <c r="AP447" s="107"/>
      <c r="AQ447" s="107"/>
      <c r="AR447" s="107">
        <v>46120</v>
      </c>
      <c r="AS447" s="107"/>
      <c r="AT447" s="107"/>
      <c r="AU447" s="107"/>
      <c r="AV447" s="107"/>
      <c r="AW447" s="107"/>
      <c r="AX447" s="107"/>
      <c r="AY447" s="107"/>
      <c r="AZ447" s="107"/>
      <c r="BA447" s="107"/>
      <c r="BB447" s="236"/>
      <c r="BC447" s="236"/>
      <c r="BD447" s="236"/>
      <c r="BE447" s="236"/>
      <c r="BF447" s="236"/>
      <c r="BG447" s="322"/>
      <c r="BH447" s="285" t="s">
        <v>1589</v>
      </c>
    </row>
    <row r="448" spans="1:60" s="61" customFormat="1" ht="20.100000000000001" customHeight="1">
      <c r="A448" s="195">
        <v>443</v>
      </c>
      <c r="B448" s="196" t="s">
        <v>1087</v>
      </c>
      <c r="C448" s="65" t="s">
        <v>72</v>
      </c>
      <c r="D448" s="65" t="s">
        <v>73</v>
      </c>
      <c r="E448" s="219" t="s">
        <v>1099</v>
      </c>
      <c r="F448" s="65" t="s">
        <v>1100</v>
      </c>
      <c r="G448" s="110">
        <v>87449</v>
      </c>
      <c r="H448" s="196">
        <v>1994</v>
      </c>
      <c r="I448" s="110">
        <v>16</v>
      </c>
      <c r="J448" s="110">
        <v>1578</v>
      </c>
      <c r="K448" s="110"/>
      <c r="L448" s="110">
        <v>456</v>
      </c>
      <c r="M448" s="110">
        <v>790</v>
      </c>
      <c r="N448" s="110">
        <v>332</v>
      </c>
      <c r="O448" s="110"/>
      <c r="P448" s="197"/>
      <c r="Q448" s="197"/>
      <c r="R448" s="197"/>
      <c r="S448" s="197"/>
      <c r="T448" s="197">
        <f t="shared" si="54"/>
        <v>0</v>
      </c>
      <c r="U448" s="110"/>
      <c r="V448" s="110"/>
      <c r="W448" s="110"/>
      <c r="X448" s="110"/>
      <c r="Y448" s="110"/>
      <c r="Z448" s="110"/>
      <c r="AA448" s="110"/>
      <c r="AB448" s="110"/>
      <c r="AC448" s="110"/>
      <c r="AD448" s="110"/>
      <c r="AE448" s="110">
        <f t="shared" si="53"/>
        <v>-1578</v>
      </c>
      <c r="AF448" s="224" t="s">
        <v>1101</v>
      </c>
      <c r="AG448" s="198">
        <v>2.7</v>
      </c>
      <c r="AH448" s="199"/>
      <c r="AI448" s="199"/>
      <c r="AJ448" s="196"/>
      <c r="AK448" s="196"/>
      <c r="AL448" s="196"/>
      <c r="AM448" s="202">
        <v>44571</v>
      </c>
      <c r="AN448" s="202">
        <v>46752</v>
      </c>
      <c r="AO448" s="107"/>
      <c r="AP448" s="107"/>
      <c r="AQ448" s="107"/>
      <c r="AR448" s="107"/>
      <c r="AS448" s="107"/>
      <c r="AT448" s="107"/>
      <c r="AU448" s="107"/>
      <c r="AV448" s="107"/>
      <c r="AW448" s="196" t="s">
        <v>70</v>
      </c>
      <c r="AX448" s="107"/>
      <c r="AY448" s="107"/>
      <c r="AZ448" s="107"/>
      <c r="BA448" s="107"/>
      <c r="BB448" s="107"/>
      <c r="BC448" s="107"/>
      <c r="BD448" s="107"/>
      <c r="BE448" s="107"/>
      <c r="BF448" s="107"/>
      <c r="BG448" s="321"/>
      <c r="BH448" s="285" t="s">
        <v>1588</v>
      </c>
    </row>
    <row r="449" spans="1:60" s="61" customFormat="1" ht="20.100000000000001" customHeight="1">
      <c r="A449" s="195">
        <v>444</v>
      </c>
      <c r="B449" s="196" t="s">
        <v>1087</v>
      </c>
      <c r="C449" s="65" t="s">
        <v>72</v>
      </c>
      <c r="D449" s="65" t="s">
        <v>73</v>
      </c>
      <c r="E449" s="65" t="s">
        <v>1102</v>
      </c>
      <c r="F449" s="65" t="s">
        <v>1103</v>
      </c>
      <c r="G449" s="110">
        <v>55205</v>
      </c>
      <c r="H449" s="196">
        <v>1995</v>
      </c>
      <c r="I449" s="110">
        <v>12</v>
      </c>
      <c r="J449" s="110">
        <v>1074</v>
      </c>
      <c r="K449" s="110"/>
      <c r="L449" s="110"/>
      <c r="M449" s="110">
        <v>1074</v>
      </c>
      <c r="N449" s="110"/>
      <c r="O449" s="110"/>
      <c r="P449" s="197"/>
      <c r="Q449" s="197"/>
      <c r="R449" s="197"/>
      <c r="S449" s="197"/>
      <c r="T449" s="197">
        <f t="shared" si="54"/>
        <v>0</v>
      </c>
      <c r="U449" s="110"/>
      <c r="V449" s="110"/>
      <c r="W449" s="110"/>
      <c r="X449" s="110"/>
      <c r="Y449" s="110"/>
      <c r="Z449" s="110"/>
      <c r="AA449" s="110"/>
      <c r="AB449" s="110"/>
      <c r="AC449" s="110"/>
      <c r="AD449" s="110"/>
      <c r="AE449" s="110">
        <f t="shared" si="53"/>
        <v>-1074</v>
      </c>
      <c r="AF449" s="237">
        <v>2.1095999999999999</v>
      </c>
      <c r="AG449" s="198">
        <v>2.7</v>
      </c>
      <c r="AH449" s="199"/>
      <c r="AI449" s="199"/>
      <c r="AJ449" s="196"/>
      <c r="AK449" s="196"/>
      <c r="AL449" s="196"/>
      <c r="AM449" s="202">
        <v>44571</v>
      </c>
      <c r="AN449" s="202">
        <v>47118</v>
      </c>
      <c r="AO449" s="107"/>
      <c r="AP449" s="107"/>
      <c r="AQ449" s="107"/>
      <c r="AR449" s="107"/>
      <c r="AS449" s="107"/>
      <c r="AT449" s="107"/>
      <c r="AU449" s="107"/>
      <c r="AV449" s="107"/>
      <c r="AW449" s="196" t="s">
        <v>70</v>
      </c>
      <c r="AX449" s="107"/>
      <c r="AY449" s="107"/>
      <c r="AZ449" s="107"/>
      <c r="BA449" s="107"/>
      <c r="BB449" s="107"/>
      <c r="BC449" s="107"/>
      <c r="BD449" s="107"/>
      <c r="BE449" s="107"/>
      <c r="BF449" s="107"/>
      <c r="BG449" s="321"/>
      <c r="BH449" s="285" t="s">
        <v>1588</v>
      </c>
    </row>
    <row r="450" spans="1:60" s="61" customFormat="1" ht="20.100000000000001" customHeight="1">
      <c r="A450" s="195">
        <v>445</v>
      </c>
      <c r="B450" s="196" t="s">
        <v>1087</v>
      </c>
      <c r="C450" s="65" t="s">
        <v>72</v>
      </c>
      <c r="D450" s="65" t="s">
        <v>73</v>
      </c>
      <c r="E450" s="65" t="s">
        <v>1104</v>
      </c>
      <c r="F450" s="65" t="s">
        <v>1105</v>
      </c>
      <c r="G450" s="110">
        <v>19682</v>
      </c>
      <c r="H450" s="196">
        <v>1995</v>
      </c>
      <c r="I450" s="110">
        <v>4</v>
      </c>
      <c r="J450" s="110">
        <v>370</v>
      </c>
      <c r="K450" s="110"/>
      <c r="L450" s="110">
        <v>40</v>
      </c>
      <c r="M450" s="110">
        <v>330</v>
      </c>
      <c r="N450" s="110"/>
      <c r="O450" s="110"/>
      <c r="P450" s="197"/>
      <c r="Q450" s="197"/>
      <c r="R450" s="197"/>
      <c r="S450" s="197"/>
      <c r="T450" s="197">
        <f t="shared" si="54"/>
        <v>0</v>
      </c>
      <c r="U450" s="110"/>
      <c r="V450" s="110"/>
      <c r="W450" s="110"/>
      <c r="X450" s="110"/>
      <c r="Y450" s="110"/>
      <c r="Z450" s="110"/>
      <c r="AA450" s="110"/>
      <c r="AB450" s="110"/>
      <c r="AC450" s="110"/>
      <c r="AD450" s="110"/>
      <c r="AE450" s="110">
        <f t="shared" si="53"/>
        <v>-370</v>
      </c>
      <c r="AF450" s="237">
        <v>2.0609999999999999</v>
      </c>
      <c r="AG450" s="198">
        <v>2.7</v>
      </c>
      <c r="AH450" s="199"/>
      <c r="AI450" s="199"/>
      <c r="AJ450" s="196"/>
      <c r="AK450" s="196"/>
      <c r="AL450" s="196"/>
      <c r="AM450" s="202">
        <v>44571</v>
      </c>
      <c r="AN450" s="202">
        <v>47118</v>
      </c>
      <c r="AO450" s="107"/>
      <c r="AP450" s="107"/>
      <c r="AQ450" s="107"/>
      <c r="AR450" s="107"/>
      <c r="AS450" s="107"/>
      <c r="AT450" s="107"/>
      <c r="AU450" s="107"/>
      <c r="AV450" s="107"/>
      <c r="AW450" s="196" t="s">
        <v>70</v>
      </c>
      <c r="AX450" s="107"/>
      <c r="AY450" s="107"/>
      <c r="AZ450" s="107"/>
      <c r="BA450" s="107"/>
      <c r="BB450" s="107"/>
      <c r="BC450" s="107"/>
      <c r="BD450" s="107"/>
      <c r="BE450" s="107"/>
      <c r="BF450" s="107"/>
      <c r="BG450" s="321"/>
      <c r="BH450" s="285" t="s">
        <v>1588</v>
      </c>
    </row>
    <row r="451" spans="1:60" s="61" customFormat="1" ht="20.100000000000001" customHeight="1">
      <c r="A451" s="195">
        <v>446</v>
      </c>
      <c r="B451" s="196" t="s">
        <v>1087</v>
      </c>
      <c r="C451" s="65" t="s">
        <v>72</v>
      </c>
      <c r="D451" s="65" t="s">
        <v>73</v>
      </c>
      <c r="E451" s="65" t="s">
        <v>1106</v>
      </c>
      <c r="F451" s="65" t="s">
        <v>1107</v>
      </c>
      <c r="G451" s="110">
        <v>15510</v>
      </c>
      <c r="H451" s="196">
        <v>1995</v>
      </c>
      <c r="I451" s="110">
        <v>3</v>
      </c>
      <c r="J451" s="110">
        <v>520</v>
      </c>
      <c r="K451" s="110"/>
      <c r="L451" s="110">
        <v>520</v>
      </c>
      <c r="M451" s="110"/>
      <c r="N451" s="110"/>
      <c r="O451" s="110"/>
      <c r="P451" s="197"/>
      <c r="Q451" s="197"/>
      <c r="R451" s="197"/>
      <c r="S451" s="197"/>
      <c r="T451" s="197">
        <f t="shared" si="54"/>
        <v>0</v>
      </c>
      <c r="U451" s="110"/>
      <c r="V451" s="110"/>
      <c r="W451" s="110"/>
      <c r="X451" s="110"/>
      <c r="Y451" s="110"/>
      <c r="Z451" s="110"/>
      <c r="AA451" s="110"/>
      <c r="AB451" s="110"/>
      <c r="AC451" s="110"/>
      <c r="AD451" s="110"/>
      <c r="AE451" s="110">
        <f t="shared" si="53"/>
        <v>-520</v>
      </c>
      <c r="AF451" s="237">
        <v>2.1431</v>
      </c>
      <c r="AG451" s="198">
        <v>2.7</v>
      </c>
      <c r="AH451" s="199"/>
      <c r="AI451" s="199"/>
      <c r="AJ451" s="196"/>
      <c r="AK451" s="196"/>
      <c r="AL451" s="196"/>
      <c r="AM451" s="202">
        <v>44571</v>
      </c>
      <c r="AN451" s="202">
        <v>47118</v>
      </c>
      <c r="AO451" s="107"/>
      <c r="AP451" s="107"/>
      <c r="AQ451" s="107"/>
      <c r="AR451" s="107"/>
      <c r="AS451" s="107"/>
      <c r="AT451" s="107"/>
      <c r="AU451" s="107"/>
      <c r="AV451" s="107"/>
      <c r="AW451" s="196" t="s">
        <v>70</v>
      </c>
      <c r="AX451" s="107"/>
      <c r="AY451" s="107"/>
      <c r="AZ451" s="107"/>
      <c r="BA451" s="107"/>
      <c r="BB451" s="107"/>
      <c r="BC451" s="107"/>
      <c r="BD451" s="107"/>
      <c r="BE451" s="107"/>
      <c r="BF451" s="107"/>
      <c r="BG451" s="321"/>
      <c r="BH451" s="285" t="s">
        <v>1588</v>
      </c>
    </row>
    <row r="452" spans="1:60" s="61" customFormat="1" ht="20.100000000000001" customHeight="1">
      <c r="A452" s="195">
        <v>447</v>
      </c>
      <c r="B452" s="196" t="s">
        <v>1087</v>
      </c>
      <c r="C452" s="65" t="s">
        <v>64</v>
      </c>
      <c r="D452" s="65" t="s">
        <v>85</v>
      </c>
      <c r="E452" s="65" t="s">
        <v>1108</v>
      </c>
      <c r="F452" s="65" t="s">
        <v>1109</v>
      </c>
      <c r="G452" s="110">
        <v>15939</v>
      </c>
      <c r="H452" s="196" t="s">
        <v>1110</v>
      </c>
      <c r="I452" s="110">
        <v>49</v>
      </c>
      <c r="J452" s="110">
        <f>SUM(K452:O452)</f>
        <v>161</v>
      </c>
      <c r="K452" s="110">
        <v>19</v>
      </c>
      <c r="L452" s="110">
        <v>61</v>
      </c>
      <c r="M452" s="110">
        <v>51</v>
      </c>
      <c r="N452" s="110">
        <v>12</v>
      </c>
      <c r="O452" s="110">
        <v>18</v>
      </c>
      <c r="P452" s="197">
        <f>SUM(Q452:S452)</f>
        <v>477</v>
      </c>
      <c r="Q452" s="197">
        <v>477</v>
      </c>
      <c r="R452" s="197"/>
      <c r="S452" s="197"/>
      <c r="T452" s="197">
        <f t="shared" si="54"/>
        <v>477</v>
      </c>
      <c r="U452" s="110">
        <f>SUM(V452:Z452)</f>
        <v>477</v>
      </c>
      <c r="V452" s="208"/>
      <c r="W452" s="110"/>
      <c r="X452" s="110">
        <v>477</v>
      </c>
      <c r="Y452" s="110"/>
      <c r="Z452" s="110"/>
      <c r="AA452" s="110"/>
      <c r="AB452" s="110"/>
      <c r="AC452" s="110"/>
      <c r="AD452" s="110"/>
      <c r="AE452" s="110">
        <f t="shared" si="53"/>
        <v>316</v>
      </c>
      <c r="AF452" s="198">
        <v>3</v>
      </c>
      <c r="AG452" s="198">
        <v>6.94</v>
      </c>
      <c r="AH452" s="199">
        <v>87</v>
      </c>
      <c r="AI452" s="199">
        <v>87</v>
      </c>
      <c r="AJ452" s="65" t="s">
        <v>92</v>
      </c>
      <c r="AK452" s="196">
        <v>2012</v>
      </c>
      <c r="AL452" s="196">
        <v>2025</v>
      </c>
      <c r="AM452" s="200">
        <v>40046</v>
      </c>
      <c r="AN452" s="202">
        <v>40178</v>
      </c>
      <c r="AO452" s="107">
        <v>40598</v>
      </c>
      <c r="AP452" s="107">
        <v>40961</v>
      </c>
      <c r="AQ452" s="107"/>
      <c r="AR452" s="107">
        <v>43899</v>
      </c>
      <c r="AS452" s="107"/>
      <c r="AT452" s="107"/>
      <c r="AU452" s="107"/>
      <c r="AV452" s="107" t="s">
        <v>70</v>
      </c>
      <c r="AW452" s="196" t="s">
        <v>70</v>
      </c>
      <c r="AX452" s="107"/>
      <c r="AY452" s="108">
        <v>45846</v>
      </c>
      <c r="AZ452" s="107"/>
      <c r="BA452" s="107"/>
      <c r="BB452" s="107"/>
      <c r="BC452" s="107"/>
      <c r="BD452" s="107"/>
      <c r="BE452" s="107"/>
      <c r="BF452" s="107"/>
      <c r="BG452" s="321"/>
      <c r="BH452" s="285" t="s">
        <v>1589</v>
      </c>
    </row>
    <row r="453" spans="1:60" s="61" customFormat="1" ht="20.100000000000001" customHeight="1">
      <c r="A453" s="195">
        <v>448</v>
      </c>
      <c r="B453" s="196" t="s">
        <v>1087</v>
      </c>
      <c r="C453" s="65" t="s">
        <v>65</v>
      </c>
      <c r="D453" s="65" t="s">
        <v>73</v>
      </c>
      <c r="E453" s="65" t="s">
        <v>1111</v>
      </c>
      <c r="F453" s="65" t="s">
        <v>1112</v>
      </c>
      <c r="G453" s="110">
        <v>60916</v>
      </c>
      <c r="H453" s="196" t="s">
        <v>1113</v>
      </c>
      <c r="I453" s="110">
        <v>99</v>
      </c>
      <c r="J453" s="110">
        <v>1324</v>
      </c>
      <c r="K453" s="110"/>
      <c r="L453" s="110"/>
      <c r="M453" s="110"/>
      <c r="N453" s="110"/>
      <c r="O453" s="110"/>
      <c r="P453" s="197">
        <f>SUM(Q453:S453)</f>
        <v>1511</v>
      </c>
      <c r="Q453" s="197">
        <v>1511</v>
      </c>
      <c r="R453" s="197"/>
      <c r="S453" s="197"/>
      <c r="T453" s="197">
        <f t="shared" si="54"/>
        <v>1511</v>
      </c>
      <c r="U453" s="110">
        <f>SUM(V453:Z453)</f>
        <v>1511</v>
      </c>
      <c r="V453" s="110"/>
      <c r="W453" s="110">
        <v>1183</v>
      </c>
      <c r="X453" s="110">
        <v>328</v>
      </c>
      <c r="Y453" s="110"/>
      <c r="Z453" s="110"/>
      <c r="AA453" s="110"/>
      <c r="AB453" s="110"/>
      <c r="AC453" s="110"/>
      <c r="AD453" s="110"/>
      <c r="AE453" s="110">
        <f t="shared" si="53"/>
        <v>187</v>
      </c>
      <c r="AF453" s="198">
        <v>1.87</v>
      </c>
      <c r="AG453" s="198">
        <v>2.9533999999999998</v>
      </c>
      <c r="AH453" s="199">
        <v>1282</v>
      </c>
      <c r="AI453" s="199">
        <v>1123</v>
      </c>
      <c r="AJ453" s="196" t="s">
        <v>92</v>
      </c>
      <c r="AK453" s="196">
        <v>2016</v>
      </c>
      <c r="AL453" s="196">
        <v>2030</v>
      </c>
      <c r="AM453" s="200">
        <v>39562</v>
      </c>
      <c r="AN453" s="202">
        <v>42735</v>
      </c>
      <c r="AO453" s="107">
        <v>43731</v>
      </c>
      <c r="AP453" s="107">
        <v>43731</v>
      </c>
      <c r="AQ453" s="107">
        <v>44735</v>
      </c>
      <c r="AR453" s="108">
        <v>44286</v>
      </c>
      <c r="AS453" s="107">
        <v>42212</v>
      </c>
      <c r="AT453" s="107"/>
      <c r="AU453" s="107">
        <v>42413</v>
      </c>
      <c r="AV453" s="107" t="s">
        <v>82</v>
      </c>
      <c r="AW453" s="196" t="s">
        <v>70</v>
      </c>
      <c r="AX453" s="107"/>
      <c r="AY453" s="108">
        <v>44286</v>
      </c>
      <c r="AZ453" s="108">
        <v>45667</v>
      </c>
      <c r="BA453" s="107"/>
      <c r="BB453" s="107"/>
      <c r="BC453" s="107"/>
      <c r="BD453" s="107"/>
      <c r="BE453" s="107"/>
      <c r="BF453" s="107"/>
      <c r="BG453" s="321"/>
      <c r="BH453" s="285" t="s">
        <v>1588</v>
      </c>
    </row>
    <row r="454" spans="1:60" s="61" customFormat="1" ht="20.100000000000001" customHeight="1">
      <c r="A454" s="195">
        <v>449</v>
      </c>
      <c r="B454" s="196" t="s">
        <v>1087</v>
      </c>
      <c r="C454" s="65" t="s">
        <v>66</v>
      </c>
      <c r="D454" s="65" t="s">
        <v>85</v>
      </c>
      <c r="E454" s="65" t="s">
        <v>1114</v>
      </c>
      <c r="F454" s="65" t="s">
        <v>1115</v>
      </c>
      <c r="G454" s="110">
        <v>175211.6</v>
      </c>
      <c r="H454" s="196" t="s">
        <v>1116</v>
      </c>
      <c r="I454" s="110">
        <v>290</v>
      </c>
      <c r="J454" s="110">
        <f t="shared" ref="J454:J484" si="55">SUM(K454:O454)</f>
        <v>1763</v>
      </c>
      <c r="K454" s="110">
        <v>709</v>
      </c>
      <c r="L454" s="110">
        <v>417</v>
      </c>
      <c r="M454" s="110">
        <v>552</v>
      </c>
      <c r="N454" s="110">
        <v>40</v>
      </c>
      <c r="O454" s="110">
        <v>45</v>
      </c>
      <c r="P454" s="197">
        <f>SUM(Q454:S454)</f>
        <v>3209</v>
      </c>
      <c r="Q454" s="197">
        <v>1820</v>
      </c>
      <c r="R454" s="197">
        <v>1228</v>
      </c>
      <c r="S454" s="197">
        <v>161</v>
      </c>
      <c r="T454" s="197">
        <f t="shared" si="54"/>
        <v>3209</v>
      </c>
      <c r="U454" s="110">
        <f>SUM(V454:Z454)</f>
        <v>3048</v>
      </c>
      <c r="V454" s="208">
        <v>2</v>
      </c>
      <c r="W454" s="110">
        <v>1635</v>
      </c>
      <c r="X454" s="110">
        <f>107+589+418+233</f>
        <v>1347</v>
      </c>
      <c r="Y454" s="110">
        <v>63</v>
      </c>
      <c r="Z454" s="110">
        <v>1</v>
      </c>
      <c r="AA454" s="110">
        <f>SUM(AB454:AD454)</f>
        <v>161</v>
      </c>
      <c r="AB454" s="208">
        <v>161</v>
      </c>
      <c r="AC454" s="110"/>
      <c r="AD454" s="110"/>
      <c r="AE454" s="110">
        <f t="shared" si="53"/>
        <v>1446</v>
      </c>
      <c r="AF454" s="198">
        <v>1.06</v>
      </c>
      <c r="AG454" s="198">
        <v>2.7801999999999998</v>
      </c>
      <c r="AH454" s="199">
        <v>1862</v>
      </c>
      <c r="AI454" s="199">
        <v>1781</v>
      </c>
      <c r="AJ454" s="196" t="s">
        <v>92</v>
      </c>
      <c r="AK454" s="196">
        <v>2008</v>
      </c>
      <c r="AL454" s="196">
        <v>2025</v>
      </c>
      <c r="AM454" s="200">
        <v>39562</v>
      </c>
      <c r="AN454" s="202">
        <v>40543</v>
      </c>
      <c r="AO454" s="107">
        <v>40675</v>
      </c>
      <c r="AP454" s="107">
        <v>41471</v>
      </c>
      <c r="AQ454" s="107">
        <v>45986</v>
      </c>
      <c r="AR454" s="107">
        <v>42710</v>
      </c>
      <c r="AS454" s="107"/>
      <c r="AT454" s="107"/>
      <c r="AU454" s="107"/>
      <c r="AV454" s="107" t="s">
        <v>70</v>
      </c>
      <c r="AW454" s="196" t="s">
        <v>70</v>
      </c>
      <c r="AX454" s="107"/>
      <c r="AY454" s="107">
        <v>42710</v>
      </c>
      <c r="AZ454" s="107">
        <v>44182</v>
      </c>
      <c r="BA454" s="107">
        <v>44893</v>
      </c>
      <c r="BB454" s="107"/>
      <c r="BC454" s="107"/>
      <c r="BD454" s="107"/>
      <c r="BE454" s="107"/>
      <c r="BF454" s="107"/>
      <c r="BG454" s="321"/>
      <c r="BH454" s="285" t="s">
        <v>1590</v>
      </c>
    </row>
    <row r="455" spans="1:60" s="61" customFormat="1" ht="20.100000000000001" customHeight="1">
      <c r="A455" s="195">
        <v>450</v>
      </c>
      <c r="B455" s="196" t="s">
        <v>1087</v>
      </c>
      <c r="C455" s="65" t="s">
        <v>66</v>
      </c>
      <c r="D455" s="65" t="s">
        <v>85</v>
      </c>
      <c r="E455" s="65" t="s">
        <v>1117</v>
      </c>
      <c r="F455" s="65" t="s">
        <v>1118</v>
      </c>
      <c r="G455" s="110">
        <v>27025</v>
      </c>
      <c r="H455" s="196" t="s">
        <v>1119</v>
      </c>
      <c r="I455" s="110">
        <v>76</v>
      </c>
      <c r="J455" s="110">
        <f t="shared" si="55"/>
        <v>149</v>
      </c>
      <c r="K455" s="110">
        <v>50</v>
      </c>
      <c r="L455" s="110">
        <v>11</v>
      </c>
      <c r="M455" s="110">
        <v>27</v>
      </c>
      <c r="N455" s="110">
        <v>16</v>
      </c>
      <c r="O455" s="110">
        <v>45</v>
      </c>
      <c r="P455" s="197">
        <v>929</v>
      </c>
      <c r="Q455" s="197">
        <v>142</v>
      </c>
      <c r="R455" s="197">
        <v>787</v>
      </c>
      <c r="S455" s="197"/>
      <c r="T455" s="197">
        <f t="shared" si="54"/>
        <v>929</v>
      </c>
      <c r="U455" s="110">
        <v>929</v>
      </c>
      <c r="V455" s="208"/>
      <c r="W455" s="110">
        <v>379</v>
      </c>
      <c r="X455" s="110">
        <v>509</v>
      </c>
      <c r="Y455" s="110">
        <v>41</v>
      </c>
      <c r="Z455" s="110"/>
      <c r="AA455" s="110"/>
      <c r="AB455" s="110"/>
      <c r="AC455" s="110"/>
      <c r="AD455" s="110"/>
      <c r="AE455" s="110">
        <f t="shared" si="53"/>
        <v>780</v>
      </c>
      <c r="AF455" s="198">
        <v>1.1200000000000001</v>
      </c>
      <c r="AG455" s="198">
        <v>6.0998000000000001</v>
      </c>
      <c r="AH455" s="199">
        <v>157</v>
      </c>
      <c r="AI455" s="199">
        <v>144</v>
      </c>
      <c r="AJ455" s="196" t="s">
        <v>92</v>
      </c>
      <c r="AK455" s="196">
        <v>2008</v>
      </c>
      <c r="AL455" s="196">
        <v>2026</v>
      </c>
      <c r="AM455" s="200">
        <v>39562</v>
      </c>
      <c r="AN455" s="202">
        <v>39813</v>
      </c>
      <c r="AO455" s="107">
        <v>40031</v>
      </c>
      <c r="AP455" s="107">
        <v>40879</v>
      </c>
      <c r="AQ455" s="107">
        <v>44014</v>
      </c>
      <c r="AR455" s="107">
        <v>41152</v>
      </c>
      <c r="AS455" s="107"/>
      <c r="AT455" s="107"/>
      <c r="AU455" s="107"/>
      <c r="AV455" s="107" t="s">
        <v>70</v>
      </c>
      <c r="AW455" s="196" t="s">
        <v>70</v>
      </c>
      <c r="AX455" s="107"/>
      <c r="AY455" s="107">
        <v>41152</v>
      </c>
      <c r="AZ455" s="108">
        <v>44284</v>
      </c>
      <c r="BA455" s="107">
        <v>45499</v>
      </c>
      <c r="BB455" s="107"/>
      <c r="BC455" s="107"/>
      <c r="BD455" s="107"/>
      <c r="BE455" s="107"/>
      <c r="BF455" s="107"/>
      <c r="BG455" s="321"/>
      <c r="BH455" s="285" t="s">
        <v>1588</v>
      </c>
    </row>
    <row r="456" spans="1:60" s="61" customFormat="1" ht="20.100000000000001" customHeight="1">
      <c r="A456" s="195">
        <v>451</v>
      </c>
      <c r="B456" s="196" t="s">
        <v>1087</v>
      </c>
      <c r="C456" s="65" t="s">
        <v>66</v>
      </c>
      <c r="D456" s="65" t="s">
        <v>85</v>
      </c>
      <c r="E456" s="65" t="s">
        <v>1120</v>
      </c>
      <c r="F456" s="65" t="s">
        <v>1121</v>
      </c>
      <c r="G456" s="110">
        <v>86095</v>
      </c>
      <c r="H456" s="196" t="s">
        <v>1122</v>
      </c>
      <c r="I456" s="110">
        <v>191</v>
      </c>
      <c r="J456" s="110">
        <f t="shared" si="55"/>
        <v>961</v>
      </c>
      <c r="K456" s="110">
        <v>276</v>
      </c>
      <c r="L456" s="110">
        <v>326</v>
      </c>
      <c r="M456" s="110">
        <v>298</v>
      </c>
      <c r="N456" s="110">
        <v>38</v>
      </c>
      <c r="O456" s="110">
        <v>23</v>
      </c>
      <c r="P456" s="197">
        <v>1857</v>
      </c>
      <c r="Q456" s="197">
        <v>905</v>
      </c>
      <c r="R456" s="197">
        <v>859</v>
      </c>
      <c r="S456" s="197">
        <v>93</v>
      </c>
      <c r="T456" s="197">
        <f t="shared" si="54"/>
        <v>1950</v>
      </c>
      <c r="U456" s="110">
        <v>1857</v>
      </c>
      <c r="V456" s="208">
        <v>96</v>
      </c>
      <c r="W456" s="110">
        <v>1016</v>
      </c>
      <c r="X456" s="110">
        <v>745</v>
      </c>
      <c r="Y456" s="110"/>
      <c r="Z456" s="110"/>
      <c r="AA456" s="110">
        <v>93</v>
      </c>
      <c r="AB456" s="208">
        <v>93</v>
      </c>
      <c r="AC456" s="110"/>
      <c r="AD456" s="110"/>
      <c r="AE456" s="110">
        <f t="shared" si="53"/>
        <v>989</v>
      </c>
      <c r="AF456" s="198">
        <v>1.17</v>
      </c>
      <c r="AG456" s="198">
        <v>2.8155999999999999</v>
      </c>
      <c r="AH456" s="199">
        <v>1061</v>
      </c>
      <c r="AI456" s="199">
        <v>905</v>
      </c>
      <c r="AJ456" s="196" t="s">
        <v>92</v>
      </c>
      <c r="AK456" s="196">
        <v>2008</v>
      </c>
      <c r="AL456" s="196">
        <v>2029</v>
      </c>
      <c r="AM456" s="200">
        <v>39562</v>
      </c>
      <c r="AN456" s="202">
        <v>40543</v>
      </c>
      <c r="AO456" s="107">
        <v>40570</v>
      </c>
      <c r="AP456" s="107">
        <v>41030</v>
      </c>
      <c r="AQ456" s="107">
        <v>45168</v>
      </c>
      <c r="AR456" s="107">
        <v>41647</v>
      </c>
      <c r="AS456" s="107"/>
      <c r="AT456" s="107"/>
      <c r="AU456" s="107"/>
      <c r="AV456" s="107" t="s">
        <v>70</v>
      </c>
      <c r="AW456" s="196" t="s">
        <v>70</v>
      </c>
      <c r="AX456" s="107"/>
      <c r="AY456" s="107">
        <v>41647</v>
      </c>
      <c r="AZ456" s="107">
        <v>42851</v>
      </c>
      <c r="BA456" s="108">
        <v>44491</v>
      </c>
      <c r="BB456" s="107"/>
      <c r="BC456" s="107"/>
      <c r="BD456" s="107"/>
      <c r="BE456" s="107"/>
      <c r="BF456" s="107"/>
      <c r="BG456" s="321"/>
      <c r="BH456" s="285" t="s">
        <v>1591</v>
      </c>
    </row>
    <row r="457" spans="1:60" s="61" customFormat="1" ht="20.100000000000001" customHeight="1">
      <c r="A457" s="195">
        <v>452</v>
      </c>
      <c r="B457" s="196" t="s">
        <v>1087</v>
      </c>
      <c r="C457" s="65" t="s">
        <v>67</v>
      </c>
      <c r="D457" s="65" t="s">
        <v>85</v>
      </c>
      <c r="E457" s="65" t="s">
        <v>1123</v>
      </c>
      <c r="F457" s="65" t="s">
        <v>1124</v>
      </c>
      <c r="G457" s="110">
        <v>90406</v>
      </c>
      <c r="H457" s="196" t="s">
        <v>1125</v>
      </c>
      <c r="I457" s="110">
        <v>283</v>
      </c>
      <c r="J457" s="110">
        <f t="shared" si="55"/>
        <v>737</v>
      </c>
      <c r="K457" s="110">
        <v>129</v>
      </c>
      <c r="L457" s="110">
        <v>274</v>
      </c>
      <c r="M457" s="110">
        <v>201</v>
      </c>
      <c r="N457" s="110">
        <v>40</v>
      </c>
      <c r="O457" s="110">
        <v>93</v>
      </c>
      <c r="P457" s="197">
        <v>1912</v>
      </c>
      <c r="Q457" s="197">
        <v>858</v>
      </c>
      <c r="R457" s="197">
        <v>958</v>
      </c>
      <c r="S457" s="197">
        <v>96</v>
      </c>
      <c r="T457" s="197">
        <f t="shared" si="54"/>
        <v>1912</v>
      </c>
      <c r="U457" s="110">
        <v>1816</v>
      </c>
      <c r="V457" s="208"/>
      <c r="W457" s="110">
        <f>120+112+541+116</f>
        <v>889</v>
      </c>
      <c r="X457" s="110">
        <v>850</v>
      </c>
      <c r="Y457" s="110">
        <v>77</v>
      </c>
      <c r="Z457" s="110"/>
      <c r="AA457" s="110">
        <f>SUM(AB457:AD457)</f>
        <v>96</v>
      </c>
      <c r="AB457" s="208">
        <v>96</v>
      </c>
      <c r="AC457" s="110"/>
      <c r="AD457" s="110"/>
      <c r="AE457" s="110">
        <f t="shared" si="53"/>
        <v>1175</v>
      </c>
      <c r="AF457" s="198">
        <v>1.0900000000000001</v>
      </c>
      <c r="AG457" s="198">
        <v>2.9878999999999998</v>
      </c>
      <c r="AH457" s="199">
        <v>823</v>
      </c>
      <c r="AI457" s="199">
        <v>790</v>
      </c>
      <c r="AJ457" s="196" t="s">
        <v>92</v>
      </c>
      <c r="AK457" s="196">
        <v>2008</v>
      </c>
      <c r="AL457" s="196">
        <v>2027</v>
      </c>
      <c r="AM457" s="200">
        <v>39562</v>
      </c>
      <c r="AN457" s="202">
        <v>39813</v>
      </c>
      <c r="AO457" s="107">
        <v>40031</v>
      </c>
      <c r="AP457" s="107">
        <v>40879</v>
      </c>
      <c r="AQ457" s="107">
        <v>45950</v>
      </c>
      <c r="AR457" s="107">
        <v>41113</v>
      </c>
      <c r="AS457" s="107"/>
      <c r="AT457" s="107"/>
      <c r="AU457" s="107"/>
      <c r="AV457" s="107" t="s">
        <v>70</v>
      </c>
      <c r="AW457" s="196" t="s">
        <v>70</v>
      </c>
      <c r="AX457" s="107"/>
      <c r="AY457" s="107">
        <v>41113</v>
      </c>
      <c r="AZ457" s="107">
        <v>44182</v>
      </c>
      <c r="BA457" s="107">
        <v>44770</v>
      </c>
      <c r="BB457" s="107">
        <v>45975</v>
      </c>
      <c r="BC457" s="107">
        <v>45992</v>
      </c>
      <c r="BD457" s="107"/>
      <c r="BE457" s="107"/>
      <c r="BF457" s="107"/>
      <c r="BG457" s="321"/>
      <c r="BH457" s="285" t="s">
        <v>1590</v>
      </c>
    </row>
    <row r="458" spans="1:60" s="61" customFormat="1" ht="24" customHeight="1">
      <c r="A458" s="195">
        <v>453</v>
      </c>
      <c r="B458" s="196" t="s">
        <v>1087</v>
      </c>
      <c r="C458" s="65" t="s">
        <v>68</v>
      </c>
      <c r="D458" s="65" t="s">
        <v>85</v>
      </c>
      <c r="E458" s="65" t="s">
        <v>1126</v>
      </c>
      <c r="F458" s="65" t="s">
        <v>1127</v>
      </c>
      <c r="G458" s="110">
        <v>93990</v>
      </c>
      <c r="H458" s="196" t="s">
        <v>1128</v>
      </c>
      <c r="I458" s="110">
        <v>250</v>
      </c>
      <c r="J458" s="110">
        <f t="shared" si="55"/>
        <v>1360</v>
      </c>
      <c r="K458" s="110">
        <v>984</v>
      </c>
      <c r="L458" s="110">
        <v>247</v>
      </c>
      <c r="M458" s="110">
        <v>16</v>
      </c>
      <c r="N458" s="110">
        <v>9</v>
      </c>
      <c r="O458" s="110">
        <v>104</v>
      </c>
      <c r="P458" s="197">
        <f t="shared" ref="P458:P468" si="56">SUM(Q458:S458)</f>
        <v>2180</v>
      </c>
      <c r="Q458" s="197">
        <v>1416</v>
      </c>
      <c r="R458" s="197">
        <v>586</v>
      </c>
      <c r="S458" s="197">
        <v>178</v>
      </c>
      <c r="T458" s="197">
        <f t="shared" si="54"/>
        <v>2180</v>
      </c>
      <c r="U458" s="110">
        <f t="shared" ref="U458:U468" si="57">SUM(V458:Z458)</f>
        <v>2002</v>
      </c>
      <c r="V458" s="208"/>
      <c r="W458" s="110"/>
      <c r="X458" s="110">
        <v>1271</v>
      </c>
      <c r="Y458" s="110">
        <v>149</v>
      </c>
      <c r="Z458" s="110">
        <v>582</v>
      </c>
      <c r="AA458" s="110">
        <f>SUM(AB458:AD458)</f>
        <v>178</v>
      </c>
      <c r="AB458" s="208">
        <v>102</v>
      </c>
      <c r="AC458" s="110">
        <v>76</v>
      </c>
      <c r="AD458" s="110"/>
      <c r="AE458" s="110">
        <f t="shared" si="53"/>
        <v>820</v>
      </c>
      <c r="AF458" s="198">
        <v>1.1100000000000001</v>
      </c>
      <c r="AG458" s="198">
        <v>2.99</v>
      </c>
      <c r="AH458" s="199">
        <v>1334</v>
      </c>
      <c r="AI458" s="199">
        <v>1310</v>
      </c>
      <c r="AJ458" s="196" t="s">
        <v>92</v>
      </c>
      <c r="AK458" s="196">
        <v>2008</v>
      </c>
      <c r="AL458" s="196">
        <v>2026</v>
      </c>
      <c r="AM458" s="200">
        <v>39562</v>
      </c>
      <c r="AN458" s="202">
        <v>39813</v>
      </c>
      <c r="AO458" s="107">
        <v>40031</v>
      </c>
      <c r="AP458" s="107">
        <v>40511</v>
      </c>
      <c r="AQ458" s="107">
        <v>43091</v>
      </c>
      <c r="AR458" s="107">
        <v>40905</v>
      </c>
      <c r="AS458" s="107"/>
      <c r="AT458" s="107"/>
      <c r="AU458" s="107"/>
      <c r="AV458" s="107" t="s">
        <v>70</v>
      </c>
      <c r="AW458" s="196" t="s">
        <v>70</v>
      </c>
      <c r="AX458" s="107"/>
      <c r="AY458" s="107">
        <v>40905</v>
      </c>
      <c r="AZ458" s="107">
        <v>43136</v>
      </c>
      <c r="BA458" s="108">
        <v>43805</v>
      </c>
      <c r="BB458" s="107">
        <v>44942</v>
      </c>
      <c r="BC458" s="107">
        <v>45077</v>
      </c>
      <c r="BD458" s="227">
        <v>46157</v>
      </c>
      <c r="BE458" s="107"/>
      <c r="BF458" s="107"/>
      <c r="BG458" s="321"/>
      <c r="BH458" s="285" t="s">
        <v>1592</v>
      </c>
    </row>
    <row r="459" spans="1:60" s="61" customFormat="1" ht="20.100000000000001" customHeight="1">
      <c r="A459" s="195">
        <v>454</v>
      </c>
      <c r="B459" s="196" t="s">
        <v>1087</v>
      </c>
      <c r="C459" s="65" t="s">
        <v>67</v>
      </c>
      <c r="D459" s="65" t="s">
        <v>85</v>
      </c>
      <c r="E459" s="65" t="s">
        <v>1129</v>
      </c>
      <c r="F459" s="65" t="s">
        <v>1130</v>
      </c>
      <c r="G459" s="110">
        <v>152885.29999999999</v>
      </c>
      <c r="H459" s="196" t="s">
        <v>1128</v>
      </c>
      <c r="I459" s="110">
        <v>448</v>
      </c>
      <c r="J459" s="110">
        <f t="shared" si="55"/>
        <v>1397</v>
      </c>
      <c r="K459" s="110">
        <v>677</v>
      </c>
      <c r="L459" s="110">
        <v>372</v>
      </c>
      <c r="M459" s="110">
        <v>13</v>
      </c>
      <c r="N459" s="110">
        <v>11</v>
      </c>
      <c r="O459" s="110">
        <v>324</v>
      </c>
      <c r="P459" s="197">
        <f t="shared" si="56"/>
        <v>2633</v>
      </c>
      <c r="Q459" s="197">
        <v>1602</v>
      </c>
      <c r="R459" s="197">
        <v>899</v>
      </c>
      <c r="S459" s="197">
        <v>132</v>
      </c>
      <c r="T459" s="197">
        <f t="shared" si="54"/>
        <v>2633</v>
      </c>
      <c r="U459" s="110">
        <f t="shared" si="57"/>
        <v>2501</v>
      </c>
      <c r="V459" s="208">
        <v>30</v>
      </c>
      <c r="W459" s="110">
        <v>1355</v>
      </c>
      <c r="X459" s="110">
        <v>866</v>
      </c>
      <c r="Y459" s="110">
        <v>247</v>
      </c>
      <c r="Z459" s="110">
        <v>3</v>
      </c>
      <c r="AA459" s="110">
        <f>SUM(AB459:AD459)</f>
        <v>132</v>
      </c>
      <c r="AB459" s="208">
        <v>132</v>
      </c>
      <c r="AC459" s="110"/>
      <c r="AD459" s="110"/>
      <c r="AE459" s="110">
        <f t="shared" si="53"/>
        <v>1236</v>
      </c>
      <c r="AF459" s="198">
        <v>1.22</v>
      </c>
      <c r="AG459" s="198">
        <v>2.76</v>
      </c>
      <c r="AH459" s="199">
        <v>1399</v>
      </c>
      <c r="AI459" s="199">
        <v>1316</v>
      </c>
      <c r="AJ459" s="196" t="s">
        <v>92</v>
      </c>
      <c r="AK459" s="196">
        <v>2008</v>
      </c>
      <c r="AL459" s="196">
        <v>2026</v>
      </c>
      <c r="AM459" s="200">
        <v>39562</v>
      </c>
      <c r="AN459" s="202">
        <v>39813</v>
      </c>
      <c r="AO459" s="107">
        <v>40031</v>
      </c>
      <c r="AP459" s="107">
        <v>40709</v>
      </c>
      <c r="AQ459" s="107">
        <v>45013</v>
      </c>
      <c r="AR459" s="107">
        <v>41828</v>
      </c>
      <c r="AS459" s="107"/>
      <c r="AT459" s="107"/>
      <c r="AU459" s="107"/>
      <c r="AV459" s="107" t="s">
        <v>70</v>
      </c>
      <c r="AW459" s="196" t="s">
        <v>70</v>
      </c>
      <c r="AX459" s="107"/>
      <c r="AY459" s="107">
        <v>41828</v>
      </c>
      <c r="AZ459" s="107">
        <v>43201</v>
      </c>
      <c r="BA459" s="107">
        <v>43628</v>
      </c>
      <c r="BB459" s="107">
        <v>44652</v>
      </c>
      <c r="BC459" s="107">
        <v>44824</v>
      </c>
      <c r="BD459" s="107"/>
      <c r="BE459" s="107"/>
      <c r="BF459" s="107"/>
      <c r="BG459" s="321"/>
      <c r="BH459" s="285" t="s">
        <v>1592</v>
      </c>
    </row>
    <row r="460" spans="1:60" s="61" customFormat="1" ht="20.100000000000001" customHeight="1">
      <c r="A460" s="195">
        <v>455</v>
      </c>
      <c r="B460" s="196" t="s">
        <v>1087</v>
      </c>
      <c r="C460" s="65" t="s">
        <v>67</v>
      </c>
      <c r="D460" s="65" t="s">
        <v>85</v>
      </c>
      <c r="E460" s="65" t="s">
        <v>1131</v>
      </c>
      <c r="F460" s="65" t="s">
        <v>1132</v>
      </c>
      <c r="G460" s="110">
        <v>32850</v>
      </c>
      <c r="H460" s="196" t="s">
        <v>1133</v>
      </c>
      <c r="I460" s="110">
        <v>105</v>
      </c>
      <c r="J460" s="110">
        <f t="shared" si="55"/>
        <v>233</v>
      </c>
      <c r="K460" s="110">
        <v>10</v>
      </c>
      <c r="L460" s="110">
        <v>58</v>
      </c>
      <c r="M460" s="110">
        <v>84</v>
      </c>
      <c r="N460" s="110">
        <v>12</v>
      </c>
      <c r="O460" s="110">
        <v>69</v>
      </c>
      <c r="P460" s="197">
        <f t="shared" si="56"/>
        <v>733</v>
      </c>
      <c r="Q460" s="197">
        <v>164</v>
      </c>
      <c r="R460" s="197">
        <v>532</v>
      </c>
      <c r="S460" s="197">
        <v>37</v>
      </c>
      <c r="T460" s="197">
        <f t="shared" si="54"/>
        <v>733</v>
      </c>
      <c r="U460" s="110">
        <f t="shared" si="57"/>
        <v>696</v>
      </c>
      <c r="V460" s="208">
        <v>92</v>
      </c>
      <c r="W460" s="110">
        <v>306</v>
      </c>
      <c r="X460" s="110">
        <v>270</v>
      </c>
      <c r="Y460" s="110">
        <v>28</v>
      </c>
      <c r="Z460" s="110"/>
      <c r="AA460" s="110">
        <f>SUM(AB460:AD460)</f>
        <v>37</v>
      </c>
      <c r="AB460" s="110">
        <v>37</v>
      </c>
      <c r="AC460" s="110"/>
      <c r="AD460" s="110"/>
      <c r="AE460" s="110">
        <f t="shared" si="53"/>
        <v>500</v>
      </c>
      <c r="AF460" s="198">
        <v>1.08</v>
      </c>
      <c r="AG460" s="198">
        <v>2.7881</v>
      </c>
      <c r="AH460" s="199">
        <v>244</v>
      </c>
      <c r="AI460" s="199">
        <v>168</v>
      </c>
      <c r="AJ460" s="196" t="s">
        <v>92</v>
      </c>
      <c r="AK460" s="196">
        <v>2008</v>
      </c>
      <c r="AL460" s="196">
        <v>2026</v>
      </c>
      <c r="AM460" s="200">
        <v>39562</v>
      </c>
      <c r="AN460" s="202">
        <v>40178</v>
      </c>
      <c r="AO460" s="107">
        <v>40031</v>
      </c>
      <c r="AP460" s="107">
        <v>40493</v>
      </c>
      <c r="AQ460" s="107">
        <v>43215</v>
      </c>
      <c r="AR460" s="107">
        <v>40660</v>
      </c>
      <c r="AS460" s="107"/>
      <c r="AT460" s="107"/>
      <c r="AU460" s="107"/>
      <c r="AV460" s="107" t="s">
        <v>70</v>
      </c>
      <c r="AW460" s="196" t="s">
        <v>70</v>
      </c>
      <c r="AX460" s="107"/>
      <c r="AY460" s="107">
        <v>40660</v>
      </c>
      <c r="AZ460" s="107">
        <v>41808</v>
      </c>
      <c r="BA460" s="107">
        <v>43455</v>
      </c>
      <c r="BB460" s="107">
        <v>44644</v>
      </c>
      <c r="BC460" s="107">
        <v>45229</v>
      </c>
      <c r="BD460" s="107"/>
      <c r="BE460" s="107"/>
      <c r="BF460" s="107"/>
      <c r="BG460" s="321"/>
      <c r="BH460" s="285" t="s">
        <v>1588</v>
      </c>
    </row>
    <row r="461" spans="1:60" s="61" customFormat="1" ht="20.100000000000001" customHeight="1">
      <c r="A461" s="195">
        <v>456</v>
      </c>
      <c r="B461" s="196" t="s">
        <v>1087</v>
      </c>
      <c r="C461" s="65" t="s">
        <v>68</v>
      </c>
      <c r="D461" s="65" t="s">
        <v>73</v>
      </c>
      <c r="E461" s="65" t="s">
        <v>1134</v>
      </c>
      <c r="F461" s="65" t="s">
        <v>1135</v>
      </c>
      <c r="G461" s="110">
        <v>44823.5</v>
      </c>
      <c r="H461" s="196" t="s">
        <v>1136</v>
      </c>
      <c r="I461" s="110">
        <v>60</v>
      </c>
      <c r="J461" s="110">
        <f t="shared" si="55"/>
        <v>654</v>
      </c>
      <c r="K461" s="110">
        <v>54</v>
      </c>
      <c r="L461" s="110">
        <v>190</v>
      </c>
      <c r="M461" s="110">
        <v>360</v>
      </c>
      <c r="N461" s="110">
        <v>26</v>
      </c>
      <c r="O461" s="110">
        <v>24</v>
      </c>
      <c r="P461" s="197">
        <f t="shared" si="56"/>
        <v>941</v>
      </c>
      <c r="Q461" s="197">
        <v>603</v>
      </c>
      <c r="R461" s="197">
        <v>333</v>
      </c>
      <c r="S461" s="197">
        <v>5</v>
      </c>
      <c r="T461" s="197">
        <f t="shared" si="54"/>
        <v>941</v>
      </c>
      <c r="U461" s="110">
        <f t="shared" si="57"/>
        <v>936</v>
      </c>
      <c r="V461" s="110"/>
      <c r="W461" s="110">
        <v>285</v>
      </c>
      <c r="X461" s="110">
        <v>599</v>
      </c>
      <c r="Y461" s="110">
        <v>52</v>
      </c>
      <c r="Z461" s="110"/>
      <c r="AA461" s="110">
        <f>SUM(AB461:AD461)</f>
        <v>5</v>
      </c>
      <c r="AB461" s="110"/>
      <c r="AC461" s="110">
        <v>5</v>
      </c>
      <c r="AD461" s="110"/>
      <c r="AE461" s="110">
        <f t="shared" si="53"/>
        <v>287</v>
      </c>
      <c r="AF461" s="198">
        <v>1.1200000000000001</v>
      </c>
      <c r="AG461" s="198">
        <v>2.96</v>
      </c>
      <c r="AH461" s="199">
        <v>714</v>
      </c>
      <c r="AI461" s="199">
        <v>605</v>
      </c>
      <c r="AJ461" s="196" t="s">
        <v>92</v>
      </c>
      <c r="AK461" s="196">
        <v>2008</v>
      </c>
      <c r="AL461" s="196">
        <v>2021</v>
      </c>
      <c r="AM461" s="200">
        <v>39562</v>
      </c>
      <c r="AN461" s="202">
        <v>39813</v>
      </c>
      <c r="AO461" s="107">
        <v>39906</v>
      </c>
      <c r="AP461" s="107">
        <v>40127</v>
      </c>
      <c r="AQ461" s="107">
        <v>44953</v>
      </c>
      <c r="AR461" s="107">
        <v>39619</v>
      </c>
      <c r="AS461" s="107"/>
      <c r="AT461" s="107"/>
      <c r="AU461" s="107">
        <v>39855</v>
      </c>
      <c r="AV461" s="107" t="s">
        <v>70</v>
      </c>
      <c r="AW461" s="196" t="s">
        <v>70</v>
      </c>
      <c r="AX461" s="107"/>
      <c r="AY461" s="107">
        <v>40508</v>
      </c>
      <c r="AZ461" s="107">
        <v>41682</v>
      </c>
      <c r="BA461" s="107">
        <v>42591</v>
      </c>
      <c r="BB461" s="107">
        <v>43230</v>
      </c>
      <c r="BC461" s="107">
        <v>43262</v>
      </c>
      <c r="BD461" s="108">
        <v>44376</v>
      </c>
      <c r="BE461" s="107">
        <v>45071</v>
      </c>
      <c r="BF461" s="107"/>
      <c r="BG461" s="321"/>
      <c r="BH461" s="285" t="s">
        <v>1589</v>
      </c>
    </row>
    <row r="462" spans="1:60" s="61" customFormat="1" ht="20.100000000000001" customHeight="1">
      <c r="A462" s="195">
        <v>457</v>
      </c>
      <c r="B462" s="196" t="s">
        <v>1087</v>
      </c>
      <c r="C462" s="65" t="s">
        <v>69</v>
      </c>
      <c r="D462" s="65" t="s">
        <v>85</v>
      </c>
      <c r="E462" s="65" t="s">
        <v>1137</v>
      </c>
      <c r="F462" s="65" t="s">
        <v>1138</v>
      </c>
      <c r="G462" s="110">
        <v>14208</v>
      </c>
      <c r="H462" s="196" t="s">
        <v>1139</v>
      </c>
      <c r="I462" s="110">
        <v>13</v>
      </c>
      <c r="J462" s="110">
        <f t="shared" si="55"/>
        <v>41</v>
      </c>
      <c r="K462" s="110"/>
      <c r="L462" s="110"/>
      <c r="M462" s="110">
        <v>36</v>
      </c>
      <c r="N462" s="110">
        <v>4</v>
      </c>
      <c r="O462" s="110">
        <v>1</v>
      </c>
      <c r="P462" s="197">
        <f t="shared" si="56"/>
        <v>536</v>
      </c>
      <c r="Q462" s="197">
        <v>27</v>
      </c>
      <c r="R462" s="197">
        <v>509</v>
      </c>
      <c r="S462" s="197"/>
      <c r="T462" s="197">
        <f t="shared" si="54"/>
        <v>536</v>
      </c>
      <c r="U462" s="110">
        <f t="shared" si="57"/>
        <v>536</v>
      </c>
      <c r="V462" s="110"/>
      <c r="W462" s="110"/>
      <c r="X462" s="110"/>
      <c r="Y462" s="110">
        <v>528</v>
      </c>
      <c r="Z462" s="110">
        <v>8</v>
      </c>
      <c r="AA462" s="110"/>
      <c r="AB462" s="110"/>
      <c r="AC462" s="110"/>
      <c r="AD462" s="110"/>
      <c r="AE462" s="110">
        <f t="shared" si="53"/>
        <v>495</v>
      </c>
      <c r="AF462" s="198">
        <v>1.1100000000000001</v>
      </c>
      <c r="AG462" s="198">
        <v>7.05</v>
      </c>
      <c r="AH462" s="199">
        <v>21</v>
      </c>
      <c r="AI462" s="199">
        <v>17</v>
      </c>
      <c r="AJ462" s="196" t="s">
        <v>92</v>
      </c>
      <c r="AK462" s="196">
        <v>2010</v>
      </c>
      <c r="AL462" s="196">
        <v>2019</v>
      </c>
      <c r="AM462" s="200">
        <v>40046</v>
      </c>
      <c r="AN462" s="200">
        <v>40178</v>
      </c>
      <c r="AO462" s="107">
        <v>40247</v>
      </c>
      <c r="AP462" s="107">
        <v>40515</v>
      </c>
      <c r="AQ462" s="107">
        <v>42227</v>
      </c>
      <c r="AR462" s="107">
        <v>40175</v>
      </c>
      <c r="AS462" s="107"/>
      <c r="AT462" s="107"/>
      <c r="AU462" s="107"/>
      <c r="AV462" s="203" t="s">
        <v>70</v>
      </c>
      <c r="AW462" s="204" t="s">
        <v>70</v>
      </c>
      <c r="AX462" s="107"/>
      <c r="AY462" s="107">
        <v>40564</v>
      </c>
      <c r="AZ462" s="107">
        <v>40935</v>
      </c>
      <c r="BA462" s="107">
        <v>41589</v>
      </c>
      <c r="BB462" s="107">
        <v>41963</v>
      </c>
      <c r="BC462" s="107">
        <v>41964</v>
      </c>
      <c r="BD462" s="107">
        <v>43426</v>
      </c>
      <c r="BE462" s="107">
        <v>43433</v>
      </c>
      <c r="BF462" s="107">
        <v>44231</v>
      </c>
      <c r="BG462" s="321">
        <v>46135</v>
      </c>
      <c r="BH462" s="285" t="s">
        <v>1589</v>
      </c>
    </row>
    <row r="463" spans="1:60" s="61" customFormat="1" ht="20.100000000000001" customHeight="1">
      <c r="A463" s="195">
        <v>458</v>
      </c>
      <c r="B463" s="196" t="s">
        <v>1087</v>
      </c>
      <c r="C463" s="65" t="s">
        <v>69</v>
      </c>
      <c r="D463" s="65" t="s">
        <v>73</v>
      </c>
      <c r="E463" s="65" t="s">
        <v>1140</v>
      </c>
      <c r="F463" s="65" t="s">
        <v>1141</v>
      </c>
      <c r="G463" s="110">
        <v>14450</v>
      </c>
      <c r="H463" s="196">
        <v>1984</v>
      </c>
      <c r="I463" s="110">
        <v>4</v>
      </c>
      <c r="J463" s="110">
        <f t="shared" si="55"/>
        <v>420</v>
      </c>
      <c r="K463" s="110"/>
      <c r="L463" s="110">
        <v>165</v>
      </c>
      <c r="M463" s="110">
        <v>255</v>
      </c>
      <c r="N463" s="110"/>
      <c r="O463" s="110"/>
      <c r="P463" s="197">
        <f t="shared" si="56"/>
        <v>447</v>
      </c>
      <c r="Q463" s="197">
        <v>433</v>
      </c>
      <c r="R463" s="197"/>
      <c r="S463" s="197">
        <v>14</v>
      </c>
      <c r="T463" s="197">
        <f t="shared" si="54"/>
        <v>447</v>
      </c>
      <c r="U463" s="110">
        <f t="shared" si="57"/>
        <v>433</v>
      </c>
      <c r="V463" s="110"/>
      <c r="W463" s="110">
        <v>161</v>
      </c>
      <c r="X463" s="110">
        <v>272</v>
      </c>
      <c r="Y463" s="110"/>
      <c r="Z463" s="110"/>
      <c r="AA463" s="110">
        <f>SUM(AB463:AD463)</f>
        <v>14</v>
      </c>
      <c r="AB463" s="110"/>
      <c r="AC463" s="110">
        <v>14</v>
      </c>
      <c r="AD463" s="110"/>
      <c r="AE463" s="110">
        <f t="shared" si="53"/>
        <v>27</v>
      </c>
      <c r="AF463" s="198">
        <v>2.08</v>
      </c>
      <c r="AG463" s="198">
        <v>2.69</v>
      </c>
      <c r="AH463" s="199">
        <v>454</v>
      </c>
      <c r="AI463" s="199">
        <v>429</v>
      </c>
      <c r="AJ463" s="196" t="s">
        <v>92</v>
      </c>
      <c r="AK463" s="196">
        <v>2003</v>
      </c>
      <c r="AL463" s="196">
        <v>2009</v>
      </c>
      <c r="AM463" s="200">
        <v>38345</v>
      </c>
      <c r="AN463" s="200"/>
      <c r="AO463" s="107">
        <v>38726</v>
      </c>
      <c r="AP463" s="107">
        <v>38726</v>
      </c>
      <c r="AQ463" s="107">
        <v>39493</v>
      </c>
      <c r="AR463" s="107"/>
      <c r="AS463" s="107">
        <v>37554</v>
      </c>
      <c r="AT463" s="107"/>
      <c r="AU463" s="107">
        <v>37629</v>
      </c>
      <c r="AV463" s="203" t="s">
        <v>70</v>
      </c>
      <c r="AW463" s="204" t="s">
        <v>70</v>
      </c>
      <c r="AX463" s="107"/>
      <c r="AY463" s="107">
        <v>37802</v>
      </c>
      <c r="AZ463" s="107">
        <v>38881</v>
      </c>
      <c r="BA463" s="107">
        <v>39079</v>
      </c>
      <c r="BB463" s="107">
        <v>39241</v>
      </c>
      <c r="BC463" s="107"/>
      <c r="BD463" s="107">
        <v>40086</v>
      </c>
      <c r="BE463" s="107">
        <v>40245</v>
      </c>
      <c r="BF463" s="108">
        <v>40824</v>
      </c>
      <c r="BG463" s="321">
        <v>45840</v>
      </c>
      <c r="BH463" s="285" t="s">
        <v>1589</v>
      </c>
    </row>
    <row r="464" spans="1:60" s="61" customFormat="1" ht="20.100000000000001" customHeight="1">
      <c r="A464" s="195">
        <v>459</v>
      </c>
      <c r="B464" s="196" t="s">
        <v>1087</v>
      </c>
      <c r="C464" s="65" t="s">
        <v>69</v>
      </c>
      <c r="D464" s="65" t="s">
        <v>73</v>
      </c>
      <c r="E464" s="65" t="s">
        <v>1142</v>
      </c>
      <c r="F464" s="65" t="s">
        <v>1143</v>
      </c>
      <c r="G464" s="110">
        <v>128886</v>
      </c>
      <c r="H464" s="196">
        <v>1982</v>
      </c>
      <c r="I464" s="110">
        <v>59</v>
      </c>
      <c r="J464" s="110">
        <f t="shared" si="55"/>
        <v>2230</v>
      </c>
      <c r="K464" s="110">
        <v>1020</v>
      </c>
      <c r="L464" s="110">
        <v>1210</v>
      </c>
      <c r="M464" s="110"/>
      <c r="N464" s="110"/>
      <c r="O464" s="110"/>
      <c r="P464" s="197">
        <f t="shared" si="56"/>
        <v>2540</v>
      </c>
      <c r="Q464" s="197">
        <v>2230</v>
      </c>
      <c r="R464" s="197">
        <v>310</v>
      </c>
      <c r="S464" s="197"/>
      <c r="T464" s="197">
        <f t="shared" si="54"/>
        <v>2540</v>
      </c>
      <c r="U464" s="110">
        <f t="shared" si="57"/>
        <v>2540</v>
      </c>
      <c r="V464" s="110"/>
      <c r="W464" s="110">
        <v>510</v>
      </c>
      <c r="X464" s="110">
        <v>1191</v>
      </c>
      <c r="Y464" s="110">
        <v>603</v>
      </c>
      <c r="Z464" s="110">
        <v>236</v>
      </c>
      <c r="AA464" s="110"/>
      <c r="AB464" s="110"/>
      <c r="AC464" s="110"/>
      <c r="AD464" s="110"/>
      <c r="AE464" s="110">
        <f t="shared" si="53"/>
        <v>310</v>
      </c>
      <c r="AF464" s="198">
        <v>0.78</v>
      </c>
      <c r="AG464" s="198">
        <v>2.4700000000000002</v>
      </c>
      <c r="AH464" s="199">
        <v>2313</v>
      </c>
      <c r="AI464" s="199">
        <v>2312</v>
      </c>
      <c r="AJ464" s="196" t="s">
        <v>92</v>
      </c>
      <c r="AK464" s="196">
        <v>2002</v>
      </c>
      <c r="AL464" s="196">
        <v>2009</v>
      </c>
      <c r="AM464" s="200">
        <v>38345</v>
      </c>
      <c r="AN464" s="200"/>
      <c r="AO464" s="107">
        <v>38453</v>
      </c>
      <c r="AP464" s="107">
        <v>38453</v>
      </c>
      <c r="AQ464" s="107">
        <v>38943</v>
      </c>
      <c r="AR464" s="107"/>
      <c r="AS464" s="107"/>
      <c r="AT464" s="107"/>
      <c r="AU464" s="107">
        <v>37506</v>
      </c>
      <c r="AV464" s="203" t="s">
        <v>70</v>
      </c>
      <c r="AW464" s="204" t="s">
        <v>70</v>
      </c>
      <c r="AX464" s="107"/>
      <c r="AY464" s="107">
        <v>37564</v>
      </c>
      <c r="AZ464" s="107">
        <v>38488</v>
      </c>
      <c r="BA464" s="107">
        <v>39079</v>
      </c>
      <c r="BB464" s="107">
        <v>39213</v>
      </c>
      <c r="BC464" s="107">
        <v>40072</v>
      </c>
      <c r="BD464" s="107">
        <v>40140</v>
      </c>
      <c r="BE464" s="107">
        <v>40366</v>
      </c>
      <c r="BF464" s="108">
        <v>40870</v>
      </c>
      <c r="BG464" s="328">
        <v>43543</v>
      </c>
      <c r="BH464" s="285" t="s">
        <v>1589</v>
      </c>
    </row>
    <row r="465" spans="1:60" s="61" customFormat="1" ht="20.100000000000001" customHeight="1">
      <c r="A465" s="195">
        <v>460</v>
      </c>
      <c r="B465" s="196" t="s">
        <v>1087</v>
      </c>
      <c r="C465" s="65" t="s">
        <v>69</v>
      </c>
      <c r="D465" s="65" t="s">
        <v>73</v>
      </c>
      <c r="E465" s="65" t="s">
        <v>1144</v>
      </c>
      <c r="F465" s="65" t="s">
        <v>1145</v>
      </c>
      <c r="G465" s="110">
        <v>32691</v>
      </c>
      <c r="H465" s="196">
        <v>1985</v>
      </c>
      <c r="I465" s="110">
        <v>27</v>
      </c>
      <c r="J465" s="110">
        <f t="shared" si="55"/>
        <v>519</v>
      </c>
      <c r="K465" s="110"/>
      <c r="L465" s="110">
        <v>167</v>
      </c>
      <c r="M465" s="110">
        <v>352</v>
      </c>
      <c r="N465" s="110"/>
      <c r="O465" s="110"/>
      <c r="P465" s="197">
        <f t="shared" si="56"/>
        <v>696</v>
      </c>
      <c r="Q465" s="197">
        <v>519</v>
      </c>
      <c r="R465" s="197">
        <v>123</v>
      </c>
      <c r="S465" s="197">
        <v>54</v>
      </c>
      <c r="T465" s="197">
        <f t="shared" si="54"/>
        <v>696</v>
      </c>
      <c r="U465" s="110">
        <f t="shared" si="57"/>
        <v>642</v>
      </c>
      <c r="V465" s="110"/>
      <c r="W465" s="110">
        <v>97</v>
      </c>
      <c r="X465" s="110">
        <v>280</v>
      </c>
      <c r="Y465" s="110">
        <v>265</v>
      </c>
      <c r="Z465" s="110"/>
      <c r="AA465" s="110">
        <f>SUM(AB465:AD465)</f>
        <v>54</v>
      </c>
      <c r="AB465" s="110"/>
      <c r="AC465" s="110">
        <v>54</v>
      </c>
      <c r="AD465" s="110"/>
      <c r="AE465" s="110">
        <f t="shared" si="53"/>
        <v>177</v>
      </c>
      <c r="AF465" s="198">
        <v>1.1000000000000001</v>
      </c>
      <c r="AG465" s="198">
        <v>2.5</v>
      </c>
      <c r="AH465" s="199">
        <v>519</v>
      </c>
      <c r="AI465" s="199">
        <v>519</v>
      </c>
      <c r="AJ465" s="196" t="s">
        <v>92</v>
      </c>
      <c r="AK465" s="196">
        <v>2003</v>
      </c>
      <c r="AL465" s="196">
        <v>2009</v>
      </c>
      <c r="AM465" s="200">
        <v>38345</v>
      </c>
      <c r="AN465" s="200"/>
      <c r="AO465" s="107">
        <v>38453</v>
      </c>
      <c r="AP465" s="107">
        <v>38453</v>
      </c>
      <c r="AQ465" s="107">
        <v>39778</v>
      </c>
      <c r="AR465" s="107"/>
      <c r="AS465" s="107">
        <v>37554</v>
      </c>
      <c r="AT465" s="107"/>
      <c r="AU465" s="107">
        <v>37644</v>
      </c>
      <c r="AV465" s="203" t="s">
        <v>70</v>
      </c>
      <c r="AW465" s="204" t="s">
        <v>70</v>
      </c>
      <c r="AX465" s="107"/>
      <c r="AY465" s="107">
        <v>37784</v>
      </c>
      <c r="AZ465" s="107">
        <v>38488</v>
      </c>
      <c r="BA465" s="107">
        <v>38897</v>
      </c>
      <c r="BB465" s="107">
        <v>39020</v>
      </c>
      <c r="BC465" s="107">
        <v>39931</v>
      </c>
      <c r="BD465" s="107">
        <v>39903</v>
      </c>
      <c r="BE465" s="107">
        <v>39959</v>
      </c>
      <c r="BF465" s="107">
        <v>40432</v>
      </c>
      <c r="BG465" s="321">
        <v>41771</v>
      </c>
      <c r="BH465" s="285" t="s">
        <v>1589</v>
      </c>
    </row>
    <row r="466" spans="1:60" s="61" customFormat="1" ht="20.100000000000001" customHeight="1">
      <c r="A466" s="195">
        <v>461</v>
      </c>
      <c r="B466" s="196" t="s">
        <v>1087</v>
      </c>
      <c r="C466" s="65" t="s">
        <v>69</v>
      </c>
      <c r="D466" s="65" t="s">
        <v>73</v>
      </c>
      <c r="E466" s="65" t="s">
        <v>1146</v>
      </c>
      <c r="F466" s="65" t="s">
        <v>1147</v>
      </c>
      <c r="G466" s="110">
        <v>125233</v>
      </c>
      <c r="H466" s="196">
        <v>1984</v>
      </c>
      <c r="I466" s="110">
        <v>81</v>
      </c>
      <c r="J466" s="110">
        <f t="shared" si="55"/>
        <v>1276</v>
      </c>
      <c r="K466" s="110"/>
      <c r="L466" s="110">
        <v>177</v>
      </c>
      <c r="M466" s="110">
        <v>716</v>
      </c>
      <c r="N466" s="110">
        <v>383</v>
      </c>
      <c r="O466" s="110"/>
      <c r="P466" s="197">
        <f t="shared" si="56"/>
        <v>2422</v>
      </c>
      <c r="Q466" s="197">
        <v>1273</v>
      </c>
      <c r="R466" s="197">
        <v>1149</v>
      </c>
      <c r="S466" s="197"/>
      <c r="T466" s="197">
        <f t="shared" si="54"/>
        <v>2422</v>
      </c>
      <c r="U466" s="110">
        <f t="shared" si="57"/>
        <v>2422</v>
      </c>
      <c r="V466" s="110"/>
      <c r="W466" s="110"/>
      <c r="X466" s="110">
        <v>485</v>
      </c>
      <c r="Y466" s="110">
        <v>1257</v>
      </c>
      <c r="Z466" s="110">
        <v>680</v>
      </c>
      <c r="AA466" s="110"/>
      <c r="AB466" s="110"/>
      <c r="AC466" s="110"/>
      <c r="AD466" s="110"/>
      <c r="AE466" s="110">
        <f t="shared" si="53"/>
        <v>1146</v>
      </c>
      <c r="AF466" s="198">
        <v>0.78</v>
      </c>
      <c r="AG466" s="198">
        <v>2.4900000000000002</v>
      </c>
      <c r="AH466" s="199">
        <v>1276</v>
      </c>
      <c r="AI466" s="199">
        <v>1269</v>
      </c>
      <c r="AJ466" s="196" t="s">
        <v>92</v>
      </c>
      <c r="AK466" s="196">
        <v>2002</v>
      </c>
      <c r="AL466" s="196">
        <v>2011</v>
      </c>
      <c r="AM466" s="200">
        <v>38345</v>
      </c>
      <c r="AN466" s="200"/>
      <c r="AO466" s="107">
        <v>38453</v>
      </c>
      <c r="AP466" s="107">
        <v>38453</v>
      </c>
      <c r="AQ466" s="107">
        <v>41103</v>
      </c>
      <c r="AR466" s="107"/>
      <c r="AS466" s="107"/>
      <c r="AT466" s="107"/>
      <c r="AU466" s="107">
        <v>37391</v>
      </c>
      <c r="AV466" s="203" t="s">
        <v>70</v>
      </c>
      <c r="AW466" s="204" t="s">
        <v>70</v>
      </c>
      <c r="AX466" s="107"/>
      <c r="AY466" s="107">
        <v>37562</v>
      </c>
      <c r="AZ466" s="107">
        <v>38488</v>
      </c>
      <c r="BA466" s="107">
        <v>39206</v>
      </c>
      <c r="BB466" s="107">
        <v>39770</v>
      </c>
      <c r="BC466" s="107">
        <v>40680</v>
      </c>
      <c r="BD466" s="107">
        <v>41211</v>
      </c>
      <c r="BE466" s="107">
        <v>41418</v>
      </c>
      <c r="BF466" s="107">
        <v>41615</v>
      </c>
      <c r="BG466" s="321">
        <v>43089</v>
      </c>
      <c r="BH466" s="285" t="s">
        <v>1589</v>
      </c>
    </row>
    <row r="467" spans="1:60" s="61" customFormat="1" ht="20.100000000000001" customHeight="1">
      <c r="A467" s="195">
        <v>462</v>
      </c>
      <c r="B467" s="196" t="s">
        <v>1148</v>
      </c>
      <c r="C467" s="65" t="s">
        <v>88</v>
      </c>
      <c r="D467" s="65" t="s">
        <v>85</v>
      </c>
      <c r="E467" s="65" t="s">
        <v>1149</v>
      </c>
      <c r="F467" s="65" t="s">
        <v>1150</v>
      </c>
      <c r="G467" s="110">
        <v>110415</v>
      </c>
      <c r="H467" s="196" t="s">
        <v>195</v>
      </c>
      <c r="I467" s="110">
        <v>465</v>
      </c>
      <c r="J467" s="110">
        <f t="shared" si="55"/>
        <v>465</v>
      </c>
      <c r="K467" s="110"/>
      <c r="L467" s="110"/>
      <c r="M467" s="110">
        <v>465</v>
      </c>
      <c r="N467" s="110"/>
      <c r="O467" s="110"/>
      <c r="P467" s="197">
        <f t="shared" si="56"/>
        <v>2036</v>
      </c>
      <c r="Q467" s="197">
        <v>732</v>
      </c>
      <c r="R467" s="197">
        <v>1196</v>
      </c>
      <c r="S467" s="197">
        <v>108</v>
      </c>
      <c r="T467" s="197">
        <f t="shared" si="54"/>
        <v>2036</v>
      </c>
      <c r="U467" s="110">
        <f t="shared" si="57"/>
        <v>1928</v>
      </c>
      <c r="V467" s="110"/>
      <c r="W467" s="110">
        <v>5</v>
      </c>
      <c r="X467" s="110">
        <v>968</v>
      </c>
      <c r="Y467" s="110">
        <v>955</v>
      </c>
      <c r="Z467" s="110"/>
      <c r="AA467" s="110">
        <f>SUM(AB467:AD467)</f>
        <v>108</v>
      </c>
      <c r="AB467" s="110"/>
      <c r="AC467" s="110">
        <v>91</v>
      </c>
      <c r="AD467" s="110">
        <v>17</v>
      </c>
      <c r="AE467" s="110">
        <f t="shared" si="53"/>
        <v>1571</v>
      </c>
      <c r="AF467" s="198">
        <v>2</v>
      </c>
      <c r="AG467" s="198">
        <v>2.5</v>
      </c>
      <c r="AH467" s="199">
        <v>752</v>
      </c>
      <c r="AI467" s="199" t="s">
        <v>100</v>
      </c>
      <c r="AJ467" s="196" t="s">
        <v>100</v>
      </c>
      <c r="AK467" s="196">
        <v>2025</v>
      </c>
      <c r="AL467" s="196">
        <v>2030</v>
      </c>
      <c r="AM467" s="200"/>
      <c r="AN467" s="200"/>
      <c r="AO467" s="200">
        <v>45839</v>
      </c>
      <c r="AP467" s="200">
        <v>45839</v>
      </c>
      <c r="AQ467" s="107"/>
      <c r="AR467" s="107">
        <v>45924</v>
      </c>
      <c r="AS467" s="107"/>
      <c r="AT467" s="107"/>
      <c r="AU467" s="107"/>
      <c r="AV467" s="203"/>
      <c r="AW467" s="204"/>
      <c r="AX467" s="107"/>
      <c r="AY467" s="107"/>
      <c r="AZ467" s="108"/>
      <c r="BA467" s="107"/>
      <c r="BB467" s="107"/>
      <c r="BC467" s="107"/>
      <c r="BD467" s="107"/>
      <c r="BE467" s="107"/>
      <c r="BF467" s="107"/>
      <c r="BG467" s="321"/>
      <c r="BH467" s="285" t="s">
        <v>1593</v>
      </c>
    </row>
    <row r="468" spans="1:60" s="61" customFormat="1" ht="20.100000000000001" customHeight="1">
      <c r="A468" s="195">
        <v>463</v>
      </c>
      <c r="B468" s="196" t="s">
        <v>1148</v>
      </c>
      <c r="C468" s="65" t="s">
        <v>137</v>
      </c>
      <c r="D468" s="65" t="s">
        <v>85</v>
      </c>
      <c r="E468" s="65" t="s">
        <v>1151</v>
      </c>
      <c r="F468" s="65" t="s">
        <v>1152</v>
      </c>
      <c r="G468" s="110">
        <v>49646</v>
      </c>
      <c r="H468" s="196">
        <v>1985</v>
      </c>
      <c r="I468" s="110">
        <v>219</v>
      </c>
      <c r="J468" s="110">
        <f t="shared" si="55"/>
        <v>1046</v>
      </c>
      <c r="K468" s="110">
        <v>305</v>
      </c>
      <c r="L468" s="110">
        <v>652</v>
      </c>
      <c r="M468" s="110">
        <v>89</v>
      </c>
      <c r="N468" s="110"/>
      <c r="O468" s="110"/>
      <c r="P468" s="197">
        <f t="shared" si="56"/>
        <v>980</v>
      </c>
      <c r="Q468" s="197">
        <v>334</v>
      </c>
      <c r="R468" s="197">
        <v>596</v>
      </c>
      <c r="S468" s="197">
        <v>50</v>
      </c>
      <c r="T468" s="197">
        <f t="shared" si="54"/>
        <v>980</v>
      </c>
      <c r="U468" s="110">
        <f t="shared" si="57"/>
        <v>930</v>
      </c>
      <c r="V468" s="110">
        <v>12</v>
      </c>
      <c r="W468" s="110">
        <v>538</v>
      </c>
      <c r="X468" s="110">
        <v>380</v>
      </c>
      <c r="Y468" s="110"/>
      <c r="Z468" s="110"/>
      <c r="AA468" s="110">
        <f>SUM(AB468:AD468)</f>
        <v>50</v>
      </c>
      <c r="AB468" s="110">
        <v>42</v>
      </c>
      <c r="AC468" s="110">
        <v>8</v>
      </c>
      <c r="AD468" s="110"/>
      <c r="AE468" s="110">
        <f t="shared" ref="AE468:AE499" si="58">T468-J468</f>
        <v>-66</v>
      </c>
      <c r="AF468" s="198">
        <v>2.2999999999999998</v>
      </c>
      <c r="AG468" s="198">
        <v>2.5</v>
      </c>
      <c r="AH468" s="199">
        <v>343</v>
      </c>
      <c r="AI468" s="199">
        <v>267</v>
      </c>
      <c r="AJ468" s="196" t="s">
        <v>92</v>
      </c>
      <c r="AK468" s="196">
        <v>2010</v>
      </c>
      <c r="AL468" s="196">
        <v>2025</v>
      </c>
      <c r="AM468" s="200">
        <v>39728</v>
      </c>
      <c r="AN468" s="200">
        <v>40451</v>
      </c>
      <c r="AO468" s="200">
        <v>39752</v>
      </c>
      <c r="AP468" s="107">
        <v>40438</v>
      </c>
      <c r="AQ468" s="107">
        <v>41939</v>
      </c>
      <c r="AR468" s="107">
        <v>39909</v>
      </c>
      <c r="AS468" s="107"/>
      <c r="AT468" s="107"/>
      <c r="AU468" s="107"/>
      <c r="AV468" s="203" t="s">
        <v>70</v>
      </c>
      <c r="AW468" s="204" t="s">
        <v>70</v>
      </c>
      <c r="AX468" s="107"/>
      <c r="AY468" s="107">
        <v>41274</v>
      </c>
      <c r="AZ468" s="108">
        <v>42461</v>
      </c>
      <c r="BA468" s="107">
        <v>43311</v>
      </c>
      <c r="BB468" s="107">
        <v>44420</v>
      </c>
      <c r="BC468" s="107">
        <v>44462</v>
      </c>
      <c r="BD468" s="107">
        <v>45379</v>
      </c>
      <c r="BE468" s="107">
        <v>45629</v>
      </c>
      <c r="BF468" s="107">
        <v>45859</v>
      </c>
      <c r="BG468" s="321"/>
      <c r="BH468" s="285" t="s">
        <v>1594</v>
      </c>
    </row>
    <row r="469" spans="1:60" s="61" customFormat="1" ht="20.100000000000001" customHeight="1">
      <c r="A469" s="195">
        <v>464</v>
      </c>
      <c r="B469" s="196" t="s">
        <v>1153</v>
      </c>
      <c r="C469" s="65" t="s">
        <v>66</v>
      </c>
      <c r="D469" s="65" t="s">
        <v>73</v>
      </c>
      <c r="E469" s="65" t="s">
        <v>1154</v>
      </c>
      <c r="F469" s="65" t="s">
        <v>1155</v>
      </c>
      <c r="G469" s="110">
        <v>138828</v>
      </c>
      <c r="H469" s="196">
        <v>1982</v>
      </c>
      <c r="I469" s="110">
        <v>29</v>
      </c>
      <c r="J469" s="110">
        <f t="shared" ref="J469:J479" si="59">SUM(K469:O469)</f>
        <v>2120</v>
      </c>
      <c r="K469" s="110"/>
      <c r="L469" s="110">
        <v>540</v>
      </c>
      <c r="M469" s="110">
        <v>1580</v>
      </c>
      <c r="N469" s="110"/>
      <c r="O469" s="110"/>
      <c r="P469" s="197">
        <v>2829</v>
      </c>
      <c r="Q469" s="197">
        <v>2120</v>
      </c>
      <c r="R469" s="197">
        <v>709</v>
      </c>
      <c r="S469" s="197"/>
      <c r="T469" s="197">
        <f t="shared" si="54"/>
        <v>2829</v>
      </c>
      <c r="U469" s="110">
        <v>2829</v>
      </c>
      <c r="V469" s="110"/>
      <c r="W469" s="110">
        <v>242</v>
      </c>
      <c r="X469" s="110">
        <v>1523</v>
      </c>
      <c r="Y469" s="110">
        <v>971</v>
      </c>
      <c r="Z469" s="110">
        <v>93</v>
      </c>
      <c r="AA469" s="110"/>
      <c r="AB469" s="110"/>
      <c r="AC469" s="110"/>
      <c r="AD469" s="110"/>
      <c r="AE469" s="110">
        <f t="shared" si="58"/>
        <v>709</v>
      </c>
      <c r="AF469" s="198">
        <v>1.3</v>
      </c>
      <c r="AG469" s="198">
        <v>2.37</v>
      </c>
      <c r="AH469" s="199">
        <v>2171</v>
      </c>
      <c r="AI469" s="199">
        <v>2041</v>
      </c>
      <c r="AJ469" s="196" t="s">
        <v>1442</v>
      </c>
      <c r="AK469" s="196">
        <v>2019</v>
      </c>
      <c r="AL469" s="196">
        <v>2029</v>
      </c>
      <c r="AM469" s="200">
        <v>40298</v>
      </c>
      <c r="AN469" s="202">
        <v>40298</v>
      </c>
      <c r="AO469" s="107">
        <v>43524</v>
      </c>
      <c r="AP469" s="107">
        <v>43524</v>
      </c>
      <c r="AQ469" s="107">
        <v>44860</v>
      </c>
      <c r="AR469" s="107">
        <v>44250</v>
      </c>
      <c r="AS469" s="107"/>
      <c r="AT469" s="107"/>
      <c r="AU469" s="107">
        <v>42002</v>
      </c>
      <c r="AV469" s="107" t="s">
        <v>70</v>
      </c>
      <c r="AW469" s="196" t="s">
        <v>70</v>
      </c>
      <c r="AX469" s="107"/>
      <c r="AY469" s="107"/>
      <c r="AZ469" s="107">
        <v>45372</v>
      </c>
      <c r="BA469" s="107">
        <v>45665</v>
      </c>
      <c r="BB469" s="107"/>
      <c r="BC469" s="107"/>
      <c r="BD469" s="107"/>
      <c r="BE469" s="107"/>
      <c r="BF469" s="107"/>
      <c r="BG469" s="321"/>
      <c r="BH469" s="285" t="s">
        <v>1595</v>
      </c>
    </row>
    <row r="470" spans="1:60" s="61" customFormat="1" ht="20.100000000000001" customHeight="1">
      <c r="A470" s="195">
        <v>465</v>
      </c>
      <c r="B470" s="196" t="s">
        <v>1153</v>
      </c>
      <c r="C470" s="65" t="s">
        <v>66</v>
      </c>
      <c r="D470" s="65" t="s">
        <v>73</v>
      </c>
      <c r="E470" s="65" t="s">
        <v>1156</v>
      </c>
      <c r="F470" s="65" t="s">
        <v>1157</v>
      </c>
      <c r="G470" s="110">
        <v>63629</v>
      </c>
      <c r="H470" s="196">
        <v>1983</v>
      </c>
      <c r="I470" s="110">
        <v>7</v>
      </c>
      <c r="J470" s="110">
        <f t="shared" si="59"/>
        <v>800</v>
      </c>
      <c r="K470" s="110"/>
      <c r="L470" s="110"/>
      <c r="M470" s="110"/>
      <c r="N470" s="110">
        <v>800</v>
      </c>
      <c r="O470" s="110"/>
      <c r="P470" s="197">
        <v>1242</v>
      </c>
      <c r="Q470" s="197">
        <v>828</v>
      </c>
      <c r="R470" s="197">
        <v>414</v>
      </c>
      <c r="S470" s="197"/>
      <c r="T470" s="197">
        <f t="shared" si="54"/>
        <v>1242</v>
      </c>
      <c r="U470" s="110">
        <f t="shared" ref="U470:U479" si="60">SUM(V470:Z470)</f>
        <v>1242</v>
      </c>
      <c r="V470" s="110"/>
      <c r="W470" s="110">
        <v>0</v>
      </c>
      <c r="X470" s="110">
        <v>556</v>
      </c>
      <c r="Y470" s="110">
        <v>682</v>
      </c>
      <c r="Z470" s="110">
        <v>4</v>
      </c>
      <c r="AA470" s="110"/>
      <c r="AB470" s="110"/>
      <c r="AC470" s="110"/>
      <c r="AD470" s="110"/>
      <c r="AE470" s="110">
        <f t="shared" si="58"/>
        <v>442</v>
      </c>
      <c r="AF470" s="198">
        <v>1.75</v>
      </c>
      <c r="AG470" s="198">
        <v>3</v>
      </c>
      <c r="AH470" s="199">
        <v>834</v>
      </c>
      <c r="AI470" s="199">
        <v>776</v>
      </c>
      <c r="AJ470" s="196" t="s">
        <v>1442</v>
      </c>
      <c r="AK470" s="196">
        <v>2017</v>
      </c>
      <c r="AL470" s="196">
        <v>2028</v>
      </c>
      <c r="AM470" s="200">
        <v>40298</v>
      </c>
      <c r="AN470" s="200">
        <v>40298</v>
      </c>
      <c r="AO470" s="107">
        <v>42870</v>
      </c>
      <c r="AP470" s="107">
        <v>42870</v>
      </c>
      <c r="AQ470" s="107">
        <v>44133</v>
      </c>
      <c r="AR470" s="107">
        <v>42909</v>
      </c>
      <c r="AS470" s="107"/>
      <c r="AT470" s="107"/>
      <c r="AU470" s="107">
        <v>42002</v>
      </c>
      <c r="AV470" s="203" t="s">
        <v>70</v>
      </c>
      <c r="AW470" s="204" t="s">
        <v>70</v>
      </c>
      <c r="AX470" s="107"/>
      <c r="AY470" s="107">
        <v>43853</v>
      </c>
      <c r="AZ470" s="108">
        <v>45433</v>
      </c>
      <c r="BA470" s="107">
        <v>45737</v>
      </c>
      <c r="BB470" s="107"/>
      <c r="BC470" s="107"/>
      <c r="BD470" s="107"/>
      <c r="BE470" s="107"/>
      <c r="BF470" s="107"/>
      <c r="BG470" s="321"/>
      <c r="BH470" s="285" t="s">
        <v>1596</v>
      </c>
    </row>
    <row r="471" spans="1:60" s="61" customFormat="1" ht="20.100000000000001" customHeight="1">
      <c r="A471" s="195">
        <v>466</v>
      </c>
      <c r="B471" s="196" t="s">
        <v>1153</v>
      </c>
      <c r="C471" s="65" t="s">
        <v>64</v>
      </c>
      <c r="D471" s="65" t="s">
        <v>73</v>
      </c>
      <c r="E471" s="65" t="s">
        <v>1443</v>
      </c>
      <c r="F471" s="65" t="s">
        <v>1158</v>
      </c>
      <c r="G471" s="110">
        <v>102100</v>
      </c>
      <c r="H471" s="196">
        <v>1984</v>
      </c>
      <c r="I471" s="110">
        <v>26</v>
      </c>
      <c r="J471" s="110">
        <f t="shared" si="59"/>
        <v>632</v>
      </c>
      <c r="K471" s="110"/>
      <c r="L471" s="110"/>
      <c r="M471" s="110">
        <v>172</v>
      </c>
      <c r="N471" s="110">
        <v>460</v>
      </c>
      <c r="O471" s="110"/>
      <c r="P471" s="197">
        <f>SUM(Q471:S471)</f>
        <v>1339</v>
      </c>
      <c r="Q471" s="197">
        <v>632</v>
      </c>
      <c r="R471" s="197">
        <v>707</v>
      </c>
      <c r="S471" s="197"/>
      <c r="T471" s="197">
        <f t="shared" si="54"/>
        <v>1339</v>
      </c>
      <c r="U471" s="110">
        <f t="shared" si="60"/>
        <v>1339</v>
      </c>
      <c r="V471" s="110"/>
      <c r="W471" s="110">
        <v>348</v>
      </c>
      <c r="X471" s="110">
        <v>628</v>
      </c>
      <c r="Y471" s="110">
        <v>342</v>
      </c>
      <c r="Z471" s="110">
        <v>21</v>
      </c>
      <c r="AA471" s="110"/>
      <c r="AB471" s="110"/>
      <c r="AC471" s="110"/>
      <c r="AD471" s="110"/>
      <c r="AE471" s="110">
        <f t="shared" si="58"/>
        <v>707</v>
      </c>
      <c r="AF471" s="198">
        <v>0.82</v>
      </c>
      <c r="AG471" s="198">
        <v>1.8</v>
      </c>
      <c r="AH471" s="199">
        <v>669</v>
      </c>
      <c r="AI471" s="199">
        <v>648</v>
      </c>
      <c r="AJ471" s="196" t="s">
        <v>1444</v>
      </c>
      <c r="AK471" s="196">
        <v>2016</v>
      </c>
      <c r="AL471" s="196">
        <v>2030</v>
      </c>
      <c r="AM471" s="200">
        <v>40298</v>
      </c>
      <c r="AN471" s="200">
        <v>40298</v>
      </c>
      <c r="AO471" s="107">
        <v>42695</v>
      </c>
      <c r="AP471" s="107">
        <v>42695</v>
      </c>
      <c r="AQ471" s="107"/>
      <c r="AR471" s="107">
        <v>42824</v>
      </c>
      <c r="AS471" s="107"/>
      <c r="AT471" s="107"/>
      <c r="AU471" s="107">
        <v>42002</v>
      </c>
      <c r="AV471" s="203" t="s">
        <v>70</v>
      </c>
      <c r="AW471" s="204" t="s">
        <v>70</v>
      </c>
      <c r="AX471" s="107"/>
      <c r="AY471" s="107">
        <v>44418</v>
      </c>
      <c r="AZ471" s="107"/>
      <c r="BA471" s="107"/>
      <c r="BB471" s="107"/>
      <c r="BC471" s="107"/>
      <c r="BD471" s="107"/>
      <c r="BE471" s="107"/>
      <c r="BF471" s="107"/>
      <c r="BG471" s="321"/>
      <c r="BH471" s="285" t="s">
        <v>1597</v>
      </c>
    </row>
    <row r="472" spans="1:60" s="61" customFormat="1" ht="21" customHeight="1">
      <c r="A472" s="195">
        <v>467</v>
      </c>
      <c r="B472" s="196" t="s">
        <v>1153</v>
      </c>
      <c r="C472" s="65" t="s">
        <v>67</v>
      </c>
      <c r="D472" s="65" t="s">
        <v>85</v>
      </c>
      <c r="E472" s="65" t="s">
        <v>1159</v>
      </c>
      <c r="F472" s="65" t="s">
        <v>1160</v>
      </c>
      <c r="G472" s="110">
        <v>52895</v>
      </c>
      <c r="H472" s="196" t="s">
        <v>1161</v>
      </c>
      <c r="I472" s="110">
        <v>143</v>
      </c>
      <c r="J472" s="110">
        <f t="shared" si="59"/>
        <v>420</v>
      </c>
      <c r="K472" s="110">
        <v>20</v>
      </c>
      <c r="L472" s="110">
        <v>175</v>
      </c>
      <c r="M472" s="110">
        <v>41</v>
      </c>
      <c r="N472" s="110">
        <v>65</v>
      </c>
      <c r="O472" s="110">
        <v>119</v>
      </c>
      <c r="P472" s="197">
        <f>SUM(Q472:S472)</f>
        <v>880</v>
      </c>
      <c r="Q472" s="197">
        <v>488</v>
      </c>
      <c r="R472" s="197">
        <v>348</v>
      </c>
      <c r="S472" s="197">
        <v>44</v>
      </c>
      <c r="T472" s="197">
        <f t="shared" si="54"/>
        <v>880</v>
      </c>
      <c r="U472" s="110">
        <f t="shared" si="60"/>
        <v>836</v>
      </c>
      <c r="V472" s="110" t="s">
        <v>70</v>
      </c>
      <c r="W472" s="110">
        <v>229</v>
      </c>
      <c r="X472" s="110">
        <v>453</v>
      </c>
      <c r="Y472" s="110">
        <v>154</v>
      </c>
      <c r="Z472" s="110" t="s">
        <v>70</v>
      </c>
      <c r="AA472" s="110">
        <v>44</v>
      </c>
      <c r="AB472" s="110">
        <v>44</v>
      </c>
      <c r="AC472" s="110"/>
      <c r="AD472" s="110"/>
      <c r="AE472" s="110">
        <f t="shared" si="58"/>
        <v>460</v>
      </c>
      <c r="AF472" s="198">
        <v>1.45</v>
      </c>
      <c r="AG472" s="198">
        <v>2.3199999999999998</v>
      </c>
      <c r="AH472" s="199">
        <v>405</v>
      </c>
      <c r="AI472" s="199">
        <v>401</v>
      </c>
      <c r="AJ472" s="196" t="s">
        <v>92</v>
      </c>
      <c r="AK472" s="196">
        <v>2016</v>
      </c>
      <c r="AL472" s="196">
        <v>2027</v>
      </c>
      <c r="AM472" s="200">
        <v>40298</v>
      </c>
      <c r="AN472" s="200">
        <v>42369</v>
      </c>
      <c r="AO472" s="107">
        <v>42594</v>
      </c>
      <c r="AP472" s="107">
        <v>42594</v>
      </c>
      <c r="AQ472" s="107">
        <v>44292</v>
      </c>
      <c r="AR472" s="107">
        <v>42856</v>
      </c>
      <c r="AS472" s="107"/>
      <c r="AT472" s="107"/>
      <c r="AU472" s="107"/>
      <c r="AV472" s="203" t="s">
        <v>70</v>
      </c>
      <c r="AW472" s="204" t="s">
        <v>70</v>
      </c>
      <c r="AX472" s="107"/>
      <c r="AY472" s="107">
        <v>43332</v>
      </c>
      <c r="AZ472" s="107">
        <v>44498</v>
      </c>
      <c r="BA472" s="107">
        <v>45000</v>
      </c>
      <c r="BB472" s="107">
        <v>45772</v>
      </c>
      <c r="BC472" s="107">
        <v>45895</v>
      </c>
      <c r="BD472" s="107"/>
      <c r="BE472" s="107"/>
      <c r="BF472" s="107"/>
      <c r="BG472" s="321"/>
      <c r="BH472" s="285" t="s">
        <v>1597</v>
      </c>
    </row>
    <row r="473" spans="1:60" s="61" customFormat="1" ht="20.100000000000001" customHeight="1">
      <c r="A473" s="195">
        <v>468</v>
      </c>
      <c r="B473" s="196" t="s">
        <v>1153</v>
      </c>
      <c r="C473" s="65" t="s">
        <v>67</v>
      </c>
      <c r="D473" s="65" t="s">
        <v>73</v>
      </c>
      <c r="E473" s="65" t="s">
        <v>1162</v>
      </c>
      <c r="F473" s="65" t="s">
        <v>1163</v>
      </c>
      <c r="G473" s="110">
        <v>60678.8</v>
      </c>
      <c r="H473" s="196">
        <v>1983</v>
      </c>
      <c r="I473" s="110">
        <v>10</v>
      </c>
      <c r="J473" s="110">
        <f t="shared" si="59"/>
        <v>1110</v>
      </c>
      <c r="K473" s="110"/>
      <c r="L473" s="110">
        <v>210</v>
      </c>
      <c r="M473" s="110">
        <v>900</v>
      </c>
      <c r="N473" s="110"/>
      <c r="O473" s="110"/>
      <c r="P473" s="197">
        <f>Q473+R473</f>
        <v>1445</v>
      </c>
      <c r="Q473" s="197">
        <v>1158</v>
      </c>
      <c r="R473" s="197">
        <v>287</v>
      </c>
      <c r="S473" s="197"/>
      <c r="T473" s="197">
        <f t="shared" si="54"/>
        <v>1445</v>
      </c>
      <c r="U473" s="110">
        <f t="shared" si="60"/>
        <v>1445</v>
      </c>
      <c r="V473" s="110"/>
      <c r="W473" s="110">
        <v>288</v>
      </c>
      <c r="X473" s="110">
        <v>960</v>
      </c>
      <c r="Y473" s="110">
        <v>197</v>
      </c>
      <c r="Z473" s="110"/>
      <c r="AA473" s="110"/>
      <c r="AB473" s="110"/>
      <c r="AC473" s="110"/>
      <c r="AD473" s="110"/>
      <c r="AE473" s="110">
        <f t="shared" si="58"/>
        <v>335</v>
      </c>
      <c r="AF473" s="198">
        <v>1.7</v>
      </c>
      <c r="AG473" s="198">
        <v>2.8824999999999998</v>
      </c>
      <c r="AH473" s="199">
        <v>1163</v>
      </c>
      <c r="AI473" s="199">
        <v>1150</v>
      </c>
      <c r="AJ473" s="196" t="s">
        <v>92</v>
      </c>
      <c r="AK473" s="196">
        <v>2017</v>
      </c>
      <c r="AL473" s="196">
        <v>2027</v>
      </c>
      <c r="AM473" s="200">
        <v>40298</v>
      </c>
      <c r="AN473" s="200">
        <v>40298</v>
      </c>
      <c r="AO473" s="107">
        <v>42870</v>
      </c>
      <c r="AP473" s="107">
        <v>42870</v>
      </c>
      <c r="AQ473" s="107">
        <v>44784</v>
      </c>
      <c r="AR473" s="107">
        <v>42935</v>
      </c>
      <c r="AS473" s="107"/>
      <c r="AT473" s="107"/>
      <c r="AU473" s="107">
        <v>42002</v>
      </c>
      <c r="AV473" s="203" t="s">
        <v>70</v>
      </c>
      <c r="AW473" s="204" t="s">
        <v>70</v>
      </c>
      <c r="AX473" s="107"/>
      <c r="AY473" s="107">
        <v>43171</v>
      </c>
      <c r="AZ473" s="107">
        <v>44075</v>
      </c>
      <c r="BA473" s="107">
        <v>44708</v>
      </c>
      <c r="BB473" s="107">
        <v>45474</v>
      </c>
      <c r="BC473" s="108">
        <v>45572</v>
      </c>
      <c r="BD473" s="107"/>
      <c r="BE473" s="107"/>
      <c r="BF473" s="107"/>
      <c r="BG473" s="321"/>
      <c r="BH473" s="285" t="s">
        <v>1598</v>
      </c>
    </row>
    <row r="474" spans="1:60" s="61" customFormat="1" ht="20.100000000000001" customHeight="1">
      <c r="A474" s="195">
        <v>469</v>
      </c>
      <c r="B474" s="196" t="s">
        <v>1153</v>
      </c>
      <c r="C474" s="65" t="s">
        <v>137</v>
      </c>
      <c r="D474" s="65" t="s">
        <v>73</v>
      </c>
      <c r="E474" s="65" t="s">
        <v>564</v>
      </c>
      <c r="F474" s="65" t="s">
        <v>1164</v>
      </c>
      <c r="G474" s="110">
        <v>118176</v>
      </c>
      <c r="H474" s="196">
        <v>1982</v>
      </c>
      <c r="I474" s="110">
        <v>47</v>
      </c>
      <c r="J474" s="110">
        <f t="shared" si="59"/>
        <v>1262</v>
      </c>
      <c r="K474" s="110"/>
      <c r="L474" s="110">
        <v>620</v>
      </c>
      <c r="M474" s="110">
        <v>642</v>
      </c>
      <c r="N474" s="110"/>
      <c r="O474" s="110"/>
      <c r="P474" s="197">
        <f t="shared" ref="P474:P479" si="61">SUM(Q474:S474)</f>
        <v>2099</v>
      </c>
      <c r="Q474" s="197">
        <v>1316</v>
      </c>
      <c r="R474" s="197">
        <v>783</v>
      </c>
      <c r="S474" s="197"/>
      <c r="T474" s="197">
        <f t="shared" si="54"/>
        <v>2099</v>
      </c>
      <c r="U474" s="110">
        <f t="shared" si="60"/>
        <v>2099</v>
      </c>
      <c r="V474" s="110"/>
      <c r="W474" s="110">
        <v>706</v>
      </c>
      <c r="X474" s="110">
        <v>845</v>
      </c>
      <c r="Y474" s="110">
        <v>504</v>
      </c>
      <c r="Z474" s="110">
        <v>44</v>
      </c>
      <c r="AA474" s="110"/>
      <c r="AB474" s="110"/>
      <c r="AC474" s="110"/>
      <c r="AD474" s="110"/>
      <c r="AE474" s="110">
        <f t="shared" si="58"/>
        <v>837</v>
      </c>
      <c r="AF474" s="198">
        <v>0.81</v>
      </c>
      <c r="AG474" s="198">
        <v>2.2200000000000002</v>
      </c>
      <c r="AH474" s="199">
        <v>1340</v>
      </c>
      <c r="AI474" s="199">
        <v>1294</v>
      </c>
      <c r="AJ474" s="196" t="s">
        <v>92</v>
      </c>
      <c r="AK474" s="196">
        <v>2011</v>
      </c>
      <c r="AL474" s="196">
        <v>2021</v>
      </c>
      <c r="AM474" s="200">
        <v>40298</v>
      </c>
      <c r="AN474" s="200"/>
      <c r="AO474" s="107">
        <v>40809</v>
      </c>
      <c r="AP474" s="107">
        <v>40809</v>
      </c>
      <c r="AQ474" s="107">
        <v>43089</v>
      </c>
      <c r="AR474" s="107">
        <v>37985</v>
      </c>
      <c r="AS474" s="107"/>
      <c r="AT474" s="107"/>
      <c r="AU474" s="107">
        <v>40304</v>
      </c>
      <c r="AV474" s="203" t="s">
        <v>70</v>
      </c>
      <c r="AW474" s="204" t="s">
        <v>70</v>
      </c>
      <c r="AX474" s="107"/>
      <c r="AY474" s="107">
        <v>40885</v>
      </c>
      <c r="AZ474" s="107">
        <v>42180</v>
      </c>
      <c r="BA474" s="107">
        <v>42578</v>
      </c>
      <c r="BB474" s="107">
        <v>43457</v>
      </c>
      <c r="BC474" s="107">
        <v>43600</v>
      </c>
      <c r="BD474" s="107">
        <v>44638</v>
      </c>
      <c r="BE474" s="107">
        <v>44676</v>
      </c>
      <c r="BF474" s="107">
        <v>45308</v>
      </c>
      <c r="BG474" s="321"/>
      <c r="BH474" s="285" t="s">
        <v>1598</v>
      </c>
    </row>
    <row r="475" spans="1:60" s="61" customFormat="1" ht="20.100000000000001" customHeight="1">
      <c r="A475" s="195">
        <v>470</v>
      </c>
      <c r="B475" s="196" t="s">
        <v>1153</v>
      </c>
      <c r="C475" s="65" t="s">
        <v>137</v>
      </c>
      <c r="D475" s="65" t="s">
        <v>73</v>
      </c>
      <c r="E475" s="65" t="s">
        <v>1165</v>
      </c>
      <c r="F475" s="65" t="s">
        <v>1166</v>
      </c>
      <c r="G475" s="110">
        <v>118069</v>
      </c>
      <c r="H475" s="196">
        <v>1982</v>
      </c>
      <c r="I475" s="110">
        <v>38</v>
      </c>
      <c r="J475" s="110">
        <f t="shared" si="59"/>
        <v>1620</v>
      </c>
      <c r="K475" s="110">
        <v>500</v>
      </c>
      <c r="L475" s="110">
        <v>1120</v>
      </c>
      <c r="M475" s="110"/>
      <c r="N475" s="110"/>
      <c r="O475" s="110"/>
      <c r="P475" s="197">
        <f t="shared" si="61"/>
        <v>2128</v>
      </c>
      <c r="Q475" s="197">
        <v>1607</v>
      </c>
      <c r="R475" s="197">
        <v>521</v>
      </c>
      <c r="S475" s="197"/>
      <c r="T475" s="197">
        <f t="shared" si="54"/>
        <v>2128</v>
      </c>
      <c r="U475" s="110">
        <f t="shared" si="60"/>
        <v>2128</v>
      </c>
      <c r="V475" s="110">
        <v>62</v>
      </c>
      <c r="W475" s="110">
        <v>806</v>
      </c>
      <c r="X475" s="110">
        <v>1011</v>
      </c>
      <c r="Y475" s="110">
        <v>249</v>
      </c>
      <c r="Z475" s="110"/>
      <c r="AA475" s="110"/>
      <c r="AB475" s="110"/>
      <c r="AC475" s="110"/>
      <c r="AD475" s="110"/>
      <c r="AE475" s="110">
        <f t="shared" si="58"/>
        <v>508</v>
      </c>
      <c r="AF475" s="198">
        <v>0.71</v>
      </c>
      <c r="AG475" s="198">
        <v>2.27</v>
      </c>
      <c r="AH475" s="199">
        <v>1618</v>
      </c>
      <c r="AI475" s="199">
        <v>1607</v>
      </c>
      <c r="AJ475" s="196" t="s">
        <v>92</v>
      </c>
      <c r="AK475" s="196">
        <v>2011</v>
      </c>
      <c r="AL475" s="196">
        <v>2021</v>
      </c>
      <c r="AM475" s="200">
        <v>40298</v>
      </c>
      <c r="AN475" s="200"/>
      <c r="AO475" s="107">
        <v>40764</v>
      </c>
      <c r="AP475" s="107">
        <v>40764</v>
      </c>
      <c r="AQ475" s="107">
        <v>44334</v>
      </c>
      <c r="AR475" s="107">
        <v>37926</v>
      </c>
      <c r="AS475" s="107">
        <v>38952</v>
      </c>
      <c r="AT475" s="107"/>
      <c r="AU475" s="107">
        <v>39182</v>
      </c>
      <c r="AV475" s="203" t="s">
        <v>70</v>
      </c>
      <c r="AW475" s="204" t="s">
        <v>70</v>
      </c>
      <c r="AX475" s="107"/>
      <c r="AY475" s="107">
        <v>41178</v>
      </c>
      <c r="AZ475" s="107">
        <v>42185</v>
      </c>
      <c r="BA475" s="107">
        <v>42690</v>
      </c>
      <c r="BB475" s="107">
        <v>43151</v>
      </c>
      <c r="BC475" s="107">
        <v>43175</v>
      </c>
      <c r="BD475" s="107">
        <v>44224</v>
      </c>
      <c r="BE475" s="107">
        <v>44336</v>
      </c>
      <c r="BF475" s="107">
        <v>44811</v>
      </c>
      <c r="BG475" s="321"/>
      <c r="BH475" s="285" t="s">
        <v>1595</v>
      </c>
    </row>
    <row r="476" spans="1:60" s="61" customFormat="1" ht="20.100000000000001" customHeight="1">
      <c r="A476" s="195">
        <v>471</v>
      </c>
      <c r="B476" s="196" t="s">
        <v>1153</v>
      </c>
      <c r="C476" s="65" t="s">
        <v>137</v>
      </c>
      <c r="D476" s="65" t="s">
        <v>73</v>
      </c>
      <c r="E476" s="65" t="s">
        <v>1167</v>
      </c>
      <c r="F476" s="65" t="s">
        <v>1168</v>
      </c>
      <c r="G476" s="110">
        <v>114500</v>
      </c>
      <c r="H476" s="196">
        <v>1981</v>
      </c>
      <c r="I476" s="110">
        <v>39</v>
      </c>
      <c r="J476" s="110">
        <f t="shared" si="59"/>
        <v>1062</v>
      </c>
      <c r="K476" s="110"/>
      <c r="L476" s="110">
        <v>400</v>
      </c>
      <c r="M476" s="110">
        <v>662</v>
      </c>
      <c r="N476" s="110"/>
      <c r="O476" s="110"/>
      <c r="P476" s="197">
        <f t="shared" si="61"/>
        <v>1571</v>
      </c>
      <c r="Q476" s="197">
        <v>1062</v>
      </c>
      <c r="R476" s="197">
        <v>509</v>
      </c>
      <c r="S476" s="197"/>
      <c r="T476" s="197">
        <f t="shared" si="54"/>
        <v>1571</v>
      </c>
      <c r="U476" s="110">
        <f t="shared" si="60"/>
        <v>1571</v>
      </c>
      <c r="V476" s="110"/>
      <c r="W476" s="110">
        <v>462</v>
      </c>
      <c r="X476" s="110">
        <v>581</v>
      </c>
      <c r="Y476" s="110">
        <v>473</v>
      </c>
      <c r="Z476" s="110">
        <v>55</v>
      </c>
      <c r="AA476" s="110"/>
      <c r="AB476" s="110"/>
      <c r="AC476" s="110"/>
      <c r="AD476" s="110"/>
      <c r="AE476" s="110">
        <f t="shared" si="58"/>
        <v>509</v>
      </c>
      <c r="AF476" s="198">
        <v>0.75</v>
      </c>
      <c r="AG476" s="198">
        <v>1.89</v>
      </c>
      <c r="AH476" s="199">
        <v>1135</v>
      </c>
      <c r="AI476" s="199">
        <v>1133</v>
      </c>
      <c r="AJ476" s="196" t="s">
        <v>92</v>
      </c>
      <c r="AK476" s="196">
        <v>2011</v>
      </c>
      <c r="AL476" s="196">
        <v>2020</v>
      </c>
      <c r="AM476" s="200">
        <v>40298</v>
      </c>
      <c r="AN476" s="200"/>
      <c r="AO476" s="107">
        <v>40809</v>
      </c>
      <c r="AP476" s="107">
        <v>40809</v>
      </c>
      <c r="AQ476" s="107">
        <v>43663</v>
      </c>
      <c r="AR476" s="107">
        <v>40872</v>
      </c>
      <c r="AS476" s="107"/>
      <c r="AT476" s="107"/>
      <c r="AU476" s="107">
        <v>40304</v>
      </c>
      <c r="AV476" s="203" t="s">
        <v>70</v>
      </c>
      <c r="AW476" s="204" t="s">
        <v>70</v>
      </c>
      <c r="AX476" s="107"/>
      <c r="AY476" s="107">
        <v>41005</v>
      </c>
      <c r="AZ476" s="107">
        <v>42172</v>
      </c>
      <c r="BA476" s="107">
        <v>42451</v>
      </c>
      <c r="BB476" s="107">
        <v>42986</v>
      </c>
      <c r="BC476" s="107">
        <v>43668</v>
      </c>
      <c r="BD476" s="107">
        <v>43921</v>
      </c>
      <c r="BE476" s="107">
        <v>44119</v>
      </c>
      <c r="BF476" s="107">
        <v>45679</v>
      </c>
      <c r="BG476" s="321"/>
      <c r="BH476" s="285" t="s">
        <v>1595</v>
      </c>
    </row>
    <row r="477" spans="1:60" s="61" customFormat="1" ht="20.100000000000001" customHeight="1">
      <c r="A477" s="195">
        <v>472</v>
      </c>
      <c r="B477" s="196" t="s">
        <v>1153</v>
      </c>
      <c r="C477" s="65" t="s">
        <v>1445</v>
      </c>
      <c r="D477" s="65" t="s">
        <v>73</v>
      </c>
      <c r="E477" s="65" t="s">
        <v>1169</v>
      </c>
      <c r="F477" s="65" t="s">
        <v>1170</v>
      </c>
      <c r="G477" s="110">
        <v>80419.100000000006</v>
      </c>
      <c r="H477" s="196">
        <v>1982</v>
      </c>
      <c r="I477" s="110">
        <v>24</v>
      </c>
      <c r="J477" s="110">
        <f t="shared" si="59"/>
        <v>722</v>
      </c>
      <c r="K477" s="110"/>
      <c r="L477" s="110">
        <v>400</v>
      </c>
      <c r="M477" s="110">
        <v>322</v>
      </c>
      <c r="N477" s="110"/>
      <c r="O477" s="110"/>
      <c r="P477" s="197">
        <f t="shared" si="61"/>
        <v>1317</v>
      </c>
      <c r="Q477" s="197">
        <v>739</v>
      </c>
      <c r="R477" s="197">
        <v>578</v>
      </c>
      <c r="S477" s="197"/>
      <c r="T477" s="197">
        <f t="shared" si="54"/>
        <v>1317</v>
      </c>
      <c r="U477" s="110">
        <f t="shared" si="60"/>
        <v>1317</v>
      </c>
      <c r="V477" s="110"/>
      <c r="W477" s="110">
        <v>316</v>
      </c>
      <c r="X477" s="110">
        <v>752</v>
      </c>
      <c r="Y477" s="110">
        <v>247</v>
      </c>
      <c r="Z477" s="110">
        <v>2</v>
      </c>
      <c r="AA477" s="110"/>
      <c r="AB477" s="110"/>
      <c r="AC477" s="110"/>
      <c r="AD477" s="110"/>
      <c r="AE477" s="110">
        <f t="shared" si="58"/>
        <v>595</v>
      </c>
      <c r="AF477" s="198">
        <v>0.67</v>
      </c>
      <c r="AG477" s="198">
        <v>2.1160999999999999</v>
      </c>
      <c r="AH477" s="199">
        <v>745</v>
      </c>
      <c r="AI477" s="199">
        <v>742</v>
      </c>
      <c r="AJ477" s="196" t="s">
        <v>92</v>
      </c>
      <c r="AK477" s="196">
        <v>2011</v>
      </c>
      <c r="AL477" s="196">
        <v>2020</v>
      </c>
      <c r="AM477" s="200">
        <v>40298</v>
      </c>
      <c r="AN477" s="200"/>
      <c r="AO477" s="107">
        <v>40906</v>
      </c>
      <c r="AP477" s="107">
        <v>40906</v>
      </c>
      <c r="AQ477" s="107">
        <v>44273</v>
      </c>
      <c r="AR477" s="107">
        <v>40988</v>
      </c>
      <c r="AS477" s="107"/>
      <c r="AT477" s="107"/>
      <c r="AU477" s="107">
        <v>40304</v>
      </c>
      <c r="AV477" s="203" t="s">
        <v>70</v>
      </c>
      <c r="AW477" s="204" t="s">
        <v>70</v>
      </c>
      <c r="AX477" s="107"/>
      <c r="AY477" s="107">
        <v>41627</v>
      </c>
      <c r="AZ477" s="107">
        <v>42243</v>
      </c>
      <c r="BA477" s="108">
        <v>42475</v>
      </c>
      <c r="BB477" s="107">
        <v>43070</v>
      </c>
      <c r="BC477" s="107">
        <v>43125</v>
      </c>
      <c r="BD477" s="107">
        <v>44186</v>
      </c>
      <c r="BE477" s="107">
        <v>44336</v>
      </c>
      <c r="BF477" s="107">
        <v>44778</v>
      </c>
      <c r="BG477" s="321">
        <v>45930</v>
      </c>
      <c r="BH477" s="285" t="s">
        <v>1596</v>
      </c>
    </row>
    <row r="478" spans="1:60" s="61" customFormat="1" ht="20.100000000000001" customHeight="1">
      <c r="A478" s="195">
        <v>473</v>
      </c>
      <c r="B478" s="196" t="s">
        <v>1153</v>
      </c>
      <c r="C478" s="65" t="s">
        <v>1445</v>
      </c>
      <c r="D478" s="65" t="s">
        <v>73</v>
      </c>
      <c r="E478" s="65" t="s">
        <v>1171</v>
      </c>
      <c r="F478" s="65" t="s">
        <v>1172</v>
      </c>
      <c r="G478" s="110">
        <v>9288.7000000000007</v>
      </c>
      <c r="H478" s="196">
        <v>1984</v>
      </c>
      <c r="I478" s="110">
        <v>5</v>
      </c>
      <c r="J478" s="110">
        <f t="shared" si="59"/>
        <v>44</v>
      </c>
      <c r="K478" s="110"/>
      <c r="L478" s="110"/>
      <c r="M478" s="110"/>
      <c r="N478" s="110">
        <v>44</v>
      </c>
      <c r="O478" s="110"/>
      <c r="P478" s="197">
        <f t="shared" si="61"/>
        <v>100</v>
      </c>
      <c r="Q478" s="197">
        <v>43</v>
      </c>
      <c r="R478" s="197">
        <v>57</v>
      </c>
      <c r="S478" s="197"/>
      <c r="T478" s="197">
        <f t="shared" si="54"/>
        <v>100</v>
      </c>
      <c r="U478" s="110">
        <f t="shared" si="60"/>
        <v>100</v>
      </c>
      <c r="V478" s="110"/>
      <c r="W478" s="110"/>
      <c r="X478" s="110">
        <v>62</v>
      </c>
      <c r="Y478" s="110">
        <v>35</v>
      </c>
      <c r="Z478" s="110">
        <v>3</v>
      </c>
      <c r="AA478" s="110"/>
      <c r="AB478" s="110"/>
      <c r="AC478" s="110"/>
      <c r="AD478" s="110"/>
      <c r="AE478" s="110">
        <f t="shared" si="58"/>
        <v>56</v>
      </c>
      <c r="AF478" s="198">
        <v>0.47</v>
      </c>
      <c r="AG478" s="198">
        <v>1.6359999999999999</v>
      </c>
      <c r="AH478" s="199">
        <v>47</v>
      </c>
      <c r="AI478" s="199">
        <v>45</v>
      </c>
      <c r="AJ478" s="196" t="s">
        <v>92</v>
      </c>
      <c r="AK478" s="196">
        <v>2007</v>
      </c>
      <c r="AL478" s="196">
        <v>2020</v>
      </c>
      <c r="AM478" s="200"/>
      <c r="AN478" s="200"/>
      <c r="AO478" s="107"/>
      <c r="AP478" s="107"/>
      <c r="AQ478" s="107"/>
      <c r="AR478" s="107">
        <v>37998</v>
      </c>
      <c r="AS478" s="107"/>
      <c r="AT478" s="107"/>
      <c r="AU478" s="107">
        <v>38834</v>
      </c>
      <c r="AV478" s="203" t="s">
        <v>70</v>
      </c>
      <c r="AW478" s="204" t="s">
        <v>70</v>
      </c>
      <c r="AX478" s="107"/>
      <c r="AY478" s="107">
        <v>38876</v>
      </c>
      <c r="AZ478" s="107">
        <v>38909</v>
      </c>
      <c r="BA478" s="108">
        <v>39087</v>
      </c>
      <c r="BB478" s="107">
        <v>43241</v>
      </c>
      <c r="BC478" s="107">
        <v>43245</v>
      </c>
      <c r="BD478" s="107">
        <v>44054</v>
      </c>
      <c r="BE478" s="107">
        <v>44158</v>
      </c>
      <c r="BF478" s="107">
        <v>45069</v>
      </c>
      <c r="BG478" s="321">
        <v>45838</v>
      </c>
      <c r="BH478" s="285" t="s">
        <v>1597</v>
      </c>
    </row>
    <row r="479" spans="1:60" s="61" customFormat="1" ht="20.100000000000001" customHeight="1">
      <c r="A479" s="195">
        <v>474</v>
      </c>
      <c r="B479" s="196" t="s">
        <v>1153</v>
      </c>
      <c r="C479" s="65" t="s">
        <v>1445</v>
      </c>
      <c r="D479" s="65" t="s">
        <v>73</v>
      </c>
      <c r="E479" s="65" t="s">
        <v>1173</v>
      </c>
      <c r="F479" s="65" t="s">
        <v>1174</v>
      </c>
      <c r="G479" s="110">
        <v>31967</v>
      </c>
      <c r="H479" s="196">
        <v>1982</v>
      </c>
      <c r="I479" s="110">
        <v>11</v>
      </c>
      <c r="J479" s="110">
        <f t="shared" si="59"/>
        <v>400</v>
      </c>
      <c r="K479" s="110"/>
      <c r="L479" s="110">
        <v>300</v>
      </c>
      <c r="M479" s="110">
        <v>100</v>
      </c>
      <c r="N479" s="110"/>
      <c r="O479" s="110"/>
      <c r="P479" s="197">
        <f t="shared" si="61"/>
        <v>543</v>
      </c>
      <c r="Q479" s="197">
        <v>400</v>
      </c>
      <c r="R479" s="197">
        <v>143</v>
      </c>
      <c r="S479" s="197"/>
      <c r="T479" s="197">
        <f t="shared" si="54"/>
        <v>543</v>
      </c>
      <c r="U479" s="110">
        <f t="shared" si="60"/>
        <v>543</v>
      </c>
      <c r="V479" s="110"/>
      <c r="W479" s="110">
        <v>224</v>
      </c>
      <c r="X479" s="110">
        <v>274</v>
      </c>
      <c r="Y479" s="110">
        <v>45</v>
      </c>
      <c r="Z479" s="110"/>
      <c r="AA479" s="110"/>
      <c r="AB479" s="110"/>
      <c r="AC479" s="110"/>
      <c r="AD479" s="110"/>
      <c r="AE479" s="110">
        <f t="shared" si="58"/>
        <v>143</v>
      </c>
      <c r="AF479" s="198">
        <v>0.91</v>
      </c>
      <c r="AG479" s="198">
        <v>2.1960000000000002</v>
      </c>
      <c r="AH479" s="199">
        <v>401</v>
      </c>
      <c r="AI479" s="199">
        <v>400</v>
      </c>
      <c r="AJ479" s="196" t="s">
        <v>92</v>
      </c>
      <c r="AK479" s="196">
        <v>2011</v>
      </c>
      <c r="AL479" s="196">
        <v>2018</v>
      </c>
      <c r="AM479" s="200">
        <v>40298</v>
      </c>
      <c r="AN479" s="200"/>
      <c r="AO479" s="107">
        <v>40906</v>
      </c>
      <c r="AP479" s="107">
        <v>40906</v>
      </c>
      <c r="AQ479" s="107">
        <v>40987</v>
      </c>
      <c r="AR479" s="107">
        <v>41079</v>
      </c>
      <c r="AS479" s="107"/>
      <c r="AT479" s="107"/>
      <c r="AU479" s="107">
        <v>40304</v>
      </c>
      <c r="AV479" s="203" t="s">
        <v>70</v>
      </c>
      <c r="AW479" s="204" t="s">
        <v>70</v>
      </c>
      <c r="AX479" s="107"/>
      <c r="AY479" s="107">
        <v>41472</v>
      </c>
      <c r="AZ479" s="107">
        <v>41943</v>
      </c>
      <c r="BA479" s="107">
        <v>42195</v>
      </c>
      <c r="BB479" s="107">
        <v>42488</v>
      </c>
      <c r="BC479" s="107">
        <v>42514</v>
      </c>
      <c r="BD479" s="107">
        <v>43306</v>
      </c>
      <c r="BE479" s="107">
        <v>43446</v>
      </c>
      <c r="BF479" s="107">
        <v>43668</v>
      </c>
      <c r="BG479" s="321">
        <v>44838</v>
      </c>
      <c r="BH479" s="285" t="s">
        <v>1596</v>
      </c>
    </row>
    <row r="480" spans="1:60" s="61" customFormat="1" ht="20.100000000000001" customHeight="1">
      <c r="A480" s="195">
        <v>475</v>
      </c>
      <c r="B480" s="196" t="s">
        <v>1175</v>
      </c>
      <c r="C480" s="65" t="s">
        <v>88</v>
      </c>
      <c r="D480" s="65" t="s">
        <v>85</v>
      </c>
      <c r="E480" s="65" t="s">
        <v>1176</v>
      </c>
      <c r="F480" s="65" t="s">
        <v>1177</v>
      </c>
      <c r="G480" s="110">
        <v>47440</v>
      </c>
      <c r="H480" s="196" t="s">
        <v>1178</v>
      </c>
      <c r="I480" s="110">
        <v>45</v>
      </c>
      <c r="J480" s="110">
        <f t="shared" si="55"/>
        <v>560</v>
      </c>
      <c r="K480" s="110">
        <v>94</v>
      </c>
      <c r="L480" s="110">
        <v>255</v>
      </c>
      <c r="M480" s="110">
        <v>168</v>
      </c>
      <c r="N480" s="110">
        <v>37</v>
      </c>
      <c r="O480" s="110">
        <v>6</v>
      </c>
      <c r="P480" s="197"/>
      <c r="Q480" s="197"/>
      <c r="R480" s="197"/>
      <c r="S480" s="197"/>
      <c r="T480" s="197">
        <f t="shared" ref="T480:T501" si="62">U480+AA480</f>
        <v>0</v>
      </c>
      <c r="U480" s="110"/>
      <c r="V480" s="110"/>
      <c r="W480" s="110"/>
      <c r="X480" s="110"/>
      <c r="Y480" s="110"/>
      <c r="Z480" s="110"/>
      <c r="AA480" s="110"/>
      <c r="AB480" s="110"/>
      <c r="AC480" s="110"/>
      <c r="AD480" s="238"/>
      <c r="AE480" s="110">
        <f t="shared" si="58"/>
        <v>-560</v>
      </c>
      <c r="AF480" s="224">
        <v>2.1</v>
      </c>
      <c r="AG480" s="198">
        <v>2.5</v>
      </c>
      <c r="AH480" s="199">
        <v>776</v>
      </c>
      <c r="AI480" s="199"/>
      <c r="AJ480" s="196"/>
      <c r="AK480" s="196"/>
      <c r="AL480" s="196"/>
      <c r="AM480" s="200">
        <v>44189</v>
      </c>
      <c r="AN480" s="200">
        <v>47848</v>
      </c>
      <c r="AO480" s="200">
        <v>46156</v>
      </c>
      <c r="AP480" s="200">
        <v>46156</v>
      </c>
      <c r="AQ480" s="107"/>
      <c r="AR480" s="107">
        <v>46107</v>
      </c>
      <c r="AS480" s="107"/>
      <c r="AT480" s="107"/>
      <c r="AU480" s="107"/>
      <c r="AV480" s="203" t="s">
        <v>70</v>
      </c>
      <c r="AW480" s="204" t="s">
        <v>70</v>
      </c>
      <c r="AX480" s="107"/>
      <c r="AY480" s="107"/>
      <c r="AZ480" s="107"/>
      <c r="BA480" s="107"/>
      <c r="BB480" s="107"/>
      <c r="BC480" s="107"/>
      <c r="BD480" s="107"/>
      <c r="BE480" s="107"/>
      <c r="BF480" s="107"/>
      <c r="BG480" s="321"/>
      <c r="BH480" s="285" t="s">
        <v>1599</v>
      </c>
    </row>
    <row r="481" spans="1:60" s="61" customFormat="1" ht="20.100000000000001" customHeight="1">
      <c r="A481" s="195">
        <v>476</v>
      </c>
      <c r="B481" s="196" t="s">
        <v>1175</v>
      </c>
      <c r="C481" s="65" t="s">
        <v>88</v>
      </c>
      <c r="D481" s="65" t="s">
        <v>85</v>
      </c>
      <c r="E481" s="65" t="s">
        <v>1179</v>
      </c>
      <c r="F481" s="65" t="s">
        <v>1180</v>
      </c>
      <c r="G481" s="110">
        <v>15269</v>
      </c>
      <c r="H481" s="196" t="s">
        <v>1181</v>
      </c>
      <c r="I481" s="110">
        <v>22</v>
      </c>
      <c r="J481" s="110">
        <f t="shared" si="55"/>
        <v>164</v>
      </c>
      <c r="K481" s="110">
        <v>8</v>
      </c>
      <c r="L481" s="110">
        <v>9</v>
      </c>
      <c r="M481" s="110">
        <v>56</v>
      </c>
      <c r="N481" s="110">
        <v>89</v>
      </c>
      <c r="O481" s="110">
        <v>2</v>
      </c>
      <c r="P481" s="197"/>
      <c r="Q481" s="197"/>
      <c r="R481" s="197"/>
      <c r="S481" s="197"/>
      <c r="T481" s="197">
        <f t="shared" si="62"/>
        <v>0</v>
      </c>
      <c r="U481" s="110"/>
      <c r="V481" s="110"/>
      <c r="W481" s="110"/>
      <c r="X481" s="110"/>
      <c r="Y481" s="110"/>
      <c r="Z481" s="110"/>
      <c r="AA481" s="110"/>
      <c r="AB481" s="110"/>
      <c r="AC481" s="110"/>
      <c r="AD481" s="238"/>
      <c r="AE481" s="110">
        <f t="shared" si="58"/>
        <v>-164</v>
      </c>
      <c r="AF481" s="224">
        <v>2.1</v>
      </c>
      <c r="AG481" s="198">
        <v>2.5</v>
      </c>
      <c r="AH481" s="199">
        <v>164</v>
      </c>
      <c r="AI481" s="199"/>
      <c r="AJ481" s="196"/>
      <c r="AK481" s="196"/>
      <c r="AL481" s="196"/>
      <c r="AM481" s="200">
        <v>44189</v>
      </c>
      <c r="AN481" s="200">
        <v>47848</v>
      </c>
      <c r="AO481" s="107">
        <v>46044</v>
      </c>
      <c r="AP481" s="107">
        <v>46044</v>
      </c>
      <c r="AQ481" s="107"/>
      <c r="AR481" s="107">
        <v>45995</v>
      </c>
      <c r="AS481" s="107"/>
      <c r="AT481" s="107"/>
      <c r="AU481" s="107"/>
      <c r="AV481" s="203" t="s">
        <v>70</v>
      </c>
      <c r="AW481" s="204" t="s">
        <v>70</v>
      </c>
      <c r="AX481" s="107"/>
      <c r="AY481" s="107"/>
      <c r="AZ481" s="107"/>
      <c r="BA481" s="107"/>
      <c r="BB481" s="107"/>
      <c r="BC481" s="107"/>
      <c r="BD481" s="107"/>
      <c r="BE481" s="107"/>
      <c r="BF481" s="107"/>
      <c r="BG481" s="321"/>
      <c r="BH481" s="285" t="s">
        <v>1599</v>
      </c>
    </row>
    <row r="482" spans="1:60" s="61" customFormat="1" ht="20.100000000000001" customHeight="1">
      <c r="A482" s="195">
        <v>477</v>
      </c>
      <c r="B482" s="196" t="s">
        <v>1175</v>
      </c>
      <c r="C482" s="65" t="s">
        <v>72</v>
      </c>
      <c r="D482" s="65" t="s">
        <v>85</v>
      </c>
      <c r="E482" s="65" t="s">
        <v>1182</v>
      </c>
      <c r="F482" s="65" t="s">
        <v>1183</v>
      </c>
      <c r="G482" s="110">
        <v>14045</v>
      </c>
      <c r="H482" s="196" t="s">
        <v>1184</v>
      </c>
      <c r="I482" s="110">
        <v>41</v>
      </c>
      <c r="J482" s="110">
        <f t="shared" si="55"/>
        <v>263</v>
      </c>
      <c r="K482" s="110">
        <v>2</v>
      </c>
      <c r="L482" s="110">
        <v>24</v>
      </c>
      <c r="M482" s="110">
        <v>93</v>
      </c>
      <c r="N482" s="110">
        <v>143</v>
      </c>
      <c r="O482" s="110">
        <v>1</v>
      </c>
      <c r="P482" s="197"/>
      <c r="Q482" s="197"/>
      <c r="R482" s="197"/>
      <c r="S482" s="197"/>
      <c r="T482" s="197">
        <f t="shared" si="62"/>
        <v>0</v>
      </c>
      <c r="U482" s="110"/>
      <c r="V482" s="110"/>
      <c r="W482" s="110"/>
      <c r="X482" s="110"/>
      <c r="Y482" s="110"/>
      <c r="Z482" s="110"/>
      <c r="AA482" s="110"/>
      <c r="AB482" s="110"/>
      <c r="AC482" s="110"/>
      <c r="AD482" s="238"/>
      <c r="AE482" s="110">
        <f t="shared" si="58"/>
        <v>-263</v>
      </c>
      <c r="AF482" s="224">
        <v>0.66200000000000003</v>
      </c>
      <c r="AG482" s="198">
        <v>2.5</v>
      </c>
      <c r="AH482" s="199"/>
      <c r="AI482" s="199"/>
      <c r="AJ482" s="196"/>
      <c r="AK482" s="196"/>
      <c r="AL482" s="196"/>
      <c r="AM482" s="200">
        <v>44189</v>
      </c>
      <c r="AN482" s="200">
        <v>46022</v>
      </c>
      <c r="AO482" s="200"/>
      <c r="AP482" s="107"/>
      <c r="AQ482" s="107"/>
      <c r="AR482" s="107"/>
      <c r="AS482" s="107"/>
      <c r="AT482" s="107"/>
      <c r="AU482" s="107"/>
      <c r="AV482" s="203" t="s">
        <v>70</v>
      </c>
      <c r="AW482" s="204" t="s">
        <v>70</v>
      </c>
      <c r="AX482" s="107"/>
      <c r="AY482" s="196"/>
      <c r="AZ482" s="107"/>
      <c r="BA482" s="107"/>
      <c r="BB482" s="107"/>
      <c r="BC482" s="107"/>
      <c r="BD482" s="107"/>
      <c r="BE482" s="107"/>
      <c r="BF482" s="107"/>
      <c r="BG482" s="321"/>
      <c r="BH482" s="285" t="s">
        <v>1600</v>
      </c>
    </row>
    <row r="483" spans="1:60" s="61" customFormat="1" ht="20.100000000000001" customHeight="1">
      <c r="A483" s="195">
        <v>478</v>
      </c>
      <c r="B483" s="196" t="s">
        <v>1175</v>
      </c>
      <c r="C483" s="65" t="s">
        <v>72</v>
      </c>
      <c r="D483" s="65" t="s">
        <v>73</v>
      </c>
      <c r="E483" s="65" t="s">
        <v>1185</v>
      </c>
      <c r="F483" s="65" t="s">
        <v>1186</v>
      </c>
      <c r="G483" s="110">
        <v>99413</v>
      </c>
      <c r="H483" s="196" t="s">
        <v>596</v>
      </c>
      <c r="I483" s="110">
        <v>48</v>
      </c>
      <c r="J483" s="110">
        <f t="shared" si="55"/>
        <v>2296</v>
      </c>
      <c r="K483" s="110">
        <v>411</v>
      </c>
      <c r="L483" s="110">
        <v>382</v>
      </c>
      <c r="M483" s="110">
        <v>1038</v>
      </c>
      <c r="N483" s="110">
        <v>370</v>
      </c>
      <c r="O483" s="110">
        <v>95</v>
      </c>
      <c r="P483" s="197"/>
      <c r="Q483" s="197"/>
      <c r="R483" s="197"/>
      <c r="S483" s="197"/>
      <c r="T483" s="197">
        <f t="shared" si="62"/>
        <v>0</v>
      </c>
      <c r="U483" s="110"/>
      <c r="V483" s="110"/>
      <c r="W483" s="110"/>
      <c r="X483" s="110"/>
      <c r="Y483" s="110"/>
      <c r="Z483" s="110"/>
      <c r="AA483" s="110"/>
      <c r="AB483" s="110"/>
      <c r="AC483" s="110"/>
      <c r="AD483" s="110"/>
      <c r="AE483" s="110">
        <f t="shared" si="58"/>
        <v>-2296</v>
      </c>
      <c r="AF483" s="224">
        <v>1.468</v>
      </c>
      <c r="AG483" s="198">
        <v>3</v>
      </c>
      <c r="AH483" s="199">
        <v>2296</v>
      </c>
      <c r="AI483" s="199"/>
      <c r="AJ483" s="196"/>
      <c r="AK483" s="196"/>
      <c r="AL483" s="196"/>
      <c r="AM483" s="200">
        <v>44189</v>
      </c>
      <c r="AN483" s="200">
        <v>45291</v>
      </c>
      <c r="AO483" s="107"/>
      <c r="AP483" s="107"/>
      <c r="AQ483" s="107"/>
      <c r="AR483" s="107"/>
      <c r="AS483" s="107"/>
      <c r="AT483" s="107"/>
      <c r="AU483" s="107">
        <v>43840</v>
      </c>
      <c r="AV483" s="203" t="s">
        <v>70</v>
      </c>
      <c r="AW483" s="204" t="s">
        <v>70</v>
      </c>
      <c r="AX483" s="107"/>
      <c r="AY483" s="107"/>
      <c r="AZ483" s="107"/>
      <c r="BA483" s="107"/>
      <c r="BB483" s="107"/>
      <c r="BC483" s="107"/>
      <c r="BD483" s="107"/>
      <c r="BE483" s="107"/>
      <c r="BF483" s="107"/>
      <c r="BG483" s="321"/>
      <c r="BH483" s="285" t="s">
        <v>1600</v>
      </c>
    </row>
    <row r="484" spans="1:60" s="61" customFormat="1" ht="20.100000000000001" customHeight="1">
      <c r="A484" s="195">
        <v>479</v>
      </c>
      <c r="B484" s="196" t="s">
        <v>1175</v>
      </c>
      <c r="C484" s="65" t="s">
        <v>88</v>
      </c>
      <c r="D484" s="65" t="s">
        <v>85</v>
      </c>
      <c r="E484" s="65" t="s">
        <v>1187</v>
      </c>
      <c r="F484" s="65" t="s">
        <v>1188</v>
      </c>
      <c r="G484" s="110">
        <v>25152</v>
      </c>
      <c r="H484" s="196" t="s">
        <v>195</v>
      </c>
      <c r="I484" s="110">
        <v>78</v>
      </c>
      <c r="J484" s="110">
        <f t="shared" si="55"/>
        <v>468</v>
      </c>
      <c r="K484" s="110"/>
      <c r="L484" s="110">
        <v>29</v>
      </c>
      <c r="M484" s="110">
        <v>31</v>
      </c>
      <c r="N484" s="110">
        <v>381</v>
      </c>
      <c r="O484" s="110">
        <v>27</v>
      </c>
      <c r="P484" s="197"/>
      <c r="Q484" s="197"/>
      <c r="R484" s="197"/>
      <c r="S484" s="197"/>
      <c r="T484" s="197">
        <f t="shared" si="62"/>
        <v>0</v>
      </c>
      <c r="U484" s="110"/>
      <c r="V484" s="110"/>
      <c r="W484" s="110"/>
      <c r="X484" s="110"/>
      <c r="Y484" s="110"/>
      <c r="Z484" s="110"/>
      <c r="AA484" s="110"/>
      <c r="AB484" s="110"/>
      <c r="AC484" s="110"/>
      <c r="AD484" s="238"/>
      <c r="AE484" s="110">
        <f t="shared" si="58"/>
        <v>-468</v>
      </c>
      <c r="AF484" s="224">
        <v>0.51800000000000002</v>
      </c>
      <c r="AG484" s="198">
        <v>2.5</v>
      </c>
      <c r="AH484" s="199">
        <v>433</v>
      </c>
      <c r="AI484" s="199"/>
      <c r="AJ484" s="263" t="s">
        <v>543</v>
      </c>
      <c r="AK484" s="196"/>
      <c r="AL484" s="196"/>
      <c r="AM484" s="200">
        <v>44189</v>
      </c>
      <c r="AN484" s="200">
        <v>46022</v>
      </c>
      <c r="AO484" s="200">
        <v>44945</v>
      </c>
      <c r="AP484" s="107">
        <v>44945</v>
      </c>
      <c r="AQ484" s="107"/>
      <c r="AR484" s="107">
        <v>45397</v>
      </c>
      <c r="AS484" s="107"/>
      <c r="AT484" s="107"/>
      <c r="AU484" s="107"/>
      <c r="AV484" s="203" t="s">
        <v>70</v>
      </c>
      <c r="AW484" s="204" t="s">
        <v>70</v>
      </c>
      <c r="AX484" s="107"/>
      <c r="AY484" s="107"/>
      <c r="AZ484" s="107"/>
      <c r="BA484" s="107"/>
      <c r="BB484" s="107"/>
      <c r="BC484" s="107"/>
      <c r="BD484" s="107"/>
      <c r="BE484" s="107"/>
      <c r="BF484" s="107"/>
      <c r="BG484" s="321"/>
      <c r="BH484" s="285" t="s">
        <v>1600</v>
      </c>
    </row>
    <row r="485" spans="1:60" s="61" customFormat="1" ht="20.100000000000001" customHeight="1">
      <c r="A485" s="195">
        <v>480</v>
      </c>
      <c r="B485" s="196" t="s">
        <v>1175</v>
      </c>
      <c r="C485" s="65" t="s">
        <v>62</v>
      </c>
      <c r="D485" s="65" t="s">
        <v>85</v>
      </c>
      <c r="E485" s="65" t="s">
        <v>1189</v>
      </c>
      <c r="F485" s="65" t="s">
        <v>1190</v>
      </c>
      <c r="G485" s="110">
        <v>26593</v>
      </c>
      <c r="H485" s="196" t="s">
        <v>1191</v>
      </c>
      <c r="I485" s="110">
        <v>75</v>
      </c>
      <c r="J485" s="110">
        <v>166</v>
      </c>
      <c r="K485" s="110"/>
      <c r="L485" s="110">
        <v>98</v>
      </c>
      <c r="M485" s="110">
        <v>23</v>
      </c>
      <c r="N485" s="110">
        <v>26</v>
      </c>
      <c r="O485" s="110">
        <v>19</v>
      </c>
      <c r="P485" s="197"/>
      <c r="Q485" s="197"/>
      <c r="R485" s="197"/>
      <c r="S485" s="197"/>
      <c r="T485" s="197">
        <f t="shared" si="62"/>
        <v>0</v>
      </c>
      <c r="U485" s="110"/>
      <c r="V485" s="110"/>
      <c r="W485" s="110"/>
      <c r="X485" s="110"/>
      <c r="Y485" s="110"/>
      <c r="Z485" s="110"/>
      <c r="AA485" s="110"/>
      <c r="AB485" s="110"/>
      <c r="AC485" s="110"/>
      <c r="AD485" s="238"/>
      <c r="AE485" s="110">
        <f t="shared" si="58"/>
        <v>-166</v>
      </c>
      <c r="AF485" s="224">
        <v>0.36099999999999999</v>
      </c>
      <c r="AG485" s="198">
        <v>2.5</v>
      </c>
      <c r="AH485" s="199">
        <v>186</v>
      </c>
      <c r="AI485" s="199"/>
      <c r="AJ485" s="196" t="s">
        <v>543</v>
      </c>
      <c r="AK485" s="196"/>
      <c r="AL485" s="196"/>
      <c r="AM485" s="200">
        <v>44189</v>
      </c>
      <c r="AN485" s="200">
        <v>46022</v>
      </c>
      <c r="AO485" s="107">
        <v>45291</v>
      </c>
      <c r="AP485" s="107">
        <v>45291</v>
      </c>
      <c r="AQ485" s="107"/>
      <c r="AR485" s="107"/>
      <c r="AS485" s="107"/>
      <c r="AT485" s="107"/>
      <c r="AU485" s="107"/>
      <c r="AV485" s="107" t="s">
        <v>70</v>
      </c>
      <c r="AW485" s="196" t="s">
        <v>70</v>
      </c>
      <c r="AX485" s="107"/>
      <c r="AY485" s="107"/>
      <c r="AZ485" s="107"/>
      <c r="BA485" s="107"/>
      <c r="BB485" s="107"/>
      <c r="BC485" s="107"/>
      <c r="BD485" s="107"/>
      <c r="BE485" s="107"/>
      <c r="BF485" s="107"/>
      <c r="BG485" s="321"/>
      <c r="BH485" s="285" t="s">
        <v>1600</v>
      </c>
    </row>
    <row r="486" spans="1:60" s="61" customFormat="1" ht="20.100000000000001" customHeight="1">
      <c r="A486" s="195">
        <v>481</v>
      </c>
      <c r="B486" s="196" t="s">
        <v>1175</v>
      </c>
      <c r="C486" s="65" t="s">
        <v>88</v>
      </c>
      <c r="D486" s="65" t="s">
        <v>85</v>
      </c>
      <c r="E486" s="65" t="s">
        <v>1192</v>
      </c>
      <c r="F486" s="65" t="s">
        <v>1193</v>
      </c>
      <c r="G486" s="110">
        <v>10884</v>
      </c>
      <c r="H486" s="196" t="s">
        <v>1194</v>
      </c>
      <c r="I486" s="110">
        <v>24</v>
      </c>
      <c r="J486" s="110">
        <f t="shared" ref="J486:J494" si="63">SUM(K486:O486)</f>
        <v>211</v>
      </c>
      <c r="K486" s="110">
        <v>66</v>
      </c>
      <c r="L486" s="110">
        <v>129</v>
      </c>
      <c r="M486" s="110">
        <v>16</v>
      </c>
      <c r="N486" s="110"/>
      <c r="O486" s="110"/>
      <c r="P486" s="197"/>
      <c r="Q486" s="197"/>
      <c r="R486" s="197"/>
      <c r="S486" s="197"/>
      <c r="T486" s="197">
        <f t="shared" si="62"/>
        <v>0</v>
      </c>
      <c r="U486" s="110"/>
      <c r="V486" s="110"/>
      <c r="W486" s="110"/>
      <c r="X486" s="110"/>
      <c r="Y486" s="110"/>
      <c r="Z486" s="110"/>
      <c r="AA486" s="110"/>
      <c r="AB486" s="110"/>
      <c r="AC486" s="110"/>
      <c r="AD486" s="238"/>
      <c r="AE486" s="110">
        <f t="shared" si="58"/>
        <v>-211</v>
      </c>
      <c r="AF486" s="224">
        <v>1.3407</v>
      </c>
      <c r="AG486" s="198">
        <v>2.5</v>
      </c>
      <c r="AH486" s="199">
        <v>238</v>
      </c>
      <c r="AI486" s="199">
        <v>238</v>
      </c>
      <c r="AJ486" s="196"/>
      <c r="AK486" s="196"/>
      <c r="AL486" s="196"/>
      <c r="AM486" s="200">
        <v>44189</v>
      </c>
      <c r="AN486" s="200">
        <v>47848</v>
      </c>
      <c r="AO486" s="107">
        <v>45043</v>
      </c>
      <c r="AP486" s="107">
        <v>45043</v>
      </c>
      <c r="AQ486" s="107"/>
      <c r="AR486" s="107">
        <v>45152</v>
      </c>
      <c r="AS486" s="107"/>
      <c r="AT486" s="107"/>
      <c r="AU486" s="107"/>
      <c r="AV486" s="107" t="s">
        <v>70</v>
      </c>
      <c r="AW486" s="196" t="s">
        <v>70</v>
      </c>
      <c r="AX486" s="107"/>
      <c r="AY486" s="107"/>
      <c r="AZ486" s="107"/>
      <c r="BA486" s="107"/>
      <c r="BB486" s="107"/>
      <c r="BC486" s="107"/>
      <c r="BD486" s="107"/>
      <c r="BE486" s="107"/>
      <c r="BF486" s="107"/>
      <c r="BG486" s="321"/>
      <c r="BH486" s="285" t="s">
        <v>1601</v>
      </c>
    </row>
    <row r="487" spans="1:60" s="61" customFormat="1" ht="20.100000000000001" customHeight="1">
      <c r="A487" s="195">
        <v>482</v>
      </c>
      <c r="B487" s="196" t="s">
        <v>1175</v>
      </c>
      <c r="C487" s="65" t="s">
        <v>66</v>
      </c>
      <c r="D487" s="65" t="s">
        <v>85</v>
      </c>
      <c r="E487" s="65" t="s">
        <v>1195</v>
      </c>
      <c r="F487" s="65" t="s">
        <v>1196</v>
      </c>
      <c r="G487" s="110">
        <v>19383</v>
      </c>
      <c r="H487" s="196" t="s">
        <v>1197</v>
      </c>
      <c r="I487" s="110">
        <v>68</v>
      </c>
      <c r="J487" s="110">
        <f t="shared" si="63"/>
        <v>285</v>
      </c>
      <c r="K487" s="110">
        <v>1</v>
      </c>
      <c r="L487" s="110">
        <v>6</v>
      </c>
      <c r="M487" s="110">
        <v>120</v>
      </c>
      <c r="N487" s="110">
        <v>158</v>
      </c>
      <c r="O487" s="110"/>
      <c r="P487" s="197">
        <v>255</v>
      </c>
      <c r="Q487" s="197"/>
      <c r="R487" s="197"/>
      <c r="S487" s="197">
        <v>21</v>
      </c>
      <c r="T487" s="197">
        <f t="shared" si="62"/>
        <v>276</v>
      </c>
      <c r="U487" s="110">
        <v>255</v>
      </c>
      <c r="V487" s="110">
        <v>12</v>
      </c>
      <c r="W487" s="110">
        <v>159</v>
      </c>
      <c r="X487" s="110">
        <v>84</v>
      </c>
      <c r="Y487" s="110"/>
      <c r="Z487" s="110"/>
      <c r="AA487" s="110">
        <v>21</v>
      </c>
      <c r="AB487" s="110"/>
      <c r="AC487" s="110"/>
      <c r="AD487" s="238"/>
      <c r="AE487" s="110">
        <f t="shared" si="58"/>
        <v>-9</v>
      </c>
      <c r="AF487" s="224">
        <v>0.30199999999999999</v>
      </c>
      <c r="AG487" s="198">
        <v>2.5</v>
      </c>
      <c r="AH487" s="199">
        <v>285</v>
      </c>
      <c r="AI487" s="199"/>
      <c r="AJ487" s="196" t="s">
        <v>543</v>
      </c>
      <c r="AK487" s="196"/>
      <c r="AL487" s="196"/>
      <c r="AM487" s="200">
        <v>44189</v>
      </c>
      <c r="AN487" s="200">
        <v>45291</v>
      </c>
      <c r="AO487" s="200">
        <v>44266</v>
      </c>
      <c r="AP487" s="107">
        <v>44266</v>
      </c>
      <c r="AQ487" s="107"/>
      <c r="AR487" s="107"/>
      <c r="AS487" s="107"/>
      <c r="AT487" s="107"/>
      <c r="AU487" s="107"/>
      <c r="AV487" s="203" t="s">
        <v>70</v>
      </c>
      <c r="AW487" s="204" t="s">
        <v>70</v>
      </c>
      <c r="AX487" s="107"/>
      <c r="AY487" s="196"/>
      <c r="AZ487" s="107">
        <v>44994</v>
      </c>
      <c r="BA487" s="107">
        <v>45588</v>
      </c>
      <c r="BB487" s="107"/>
      <c r="BC487" s="107"/>
      <c r="BD487" s="107"/>
      <c r="BE487" s="107"/>
      <c r="BF487" s="107"/>
      <c r="BG487" s="321"/>
      <c r="BH487" s="285" t="s">
        <v>1602</v>
      </c>
    </row>
    <row r="488" spans="1:60" s="61" customFormat="1" ht="20.100000000000001" customHeight="1">
      <c r="A488" s="195">
        <v>483</v>
      </c>
      <c r="B488" s="196" t="s">
        <v>1175</v>
      </c>
      <c r="C488" s="65" t="s">
        <v>66</v>
      </c>
      <c r="D488" s="65" t="s">
        <v>73</v>
      </c>
      <c r="E488" s="65" t="s">
        <v>1198</v>
      </c>
      <c r="F488" s="65" t="s">
        <v>1199</v>
      </c>
      <c r="G488" s="110">
        <v>19166</v>
      </c>
      <c r="H488" s="196">
        <v>1986</v>
      </c>
      <c r="I488" s="110">
        <v>9</v>
      </c>
      <c r="J488" s="110">
        <f t="shared" si="63"/>
        <v>413</v>
      </c>
      <c r="K488" s="110">
        <v>66</v>
      </c>
      <c r="L488" s="110">
        <v>62</v>
      </c>
      <c r="M488" s="110">
        <v>167</v>
      </c>
      <c r="N488" s="110">
        <v>77</v>
      </c>
      <c r="O488" s="110">
        <v>41</v>
      </c>
      <c r="P488" s="197">
        <v>576</v>
      </c>
      <c r="Q488" s="197">
        <v>576</v>
      </c>
      <c r="R488" s="197"/>
      <c r="S488" s="197"/>
      <c r="T488" s="197">
        <f t="shared" si="62"/>
        <v>576</v>
      </c>
      <c r="U488" s="110">
        <f t="shared" ref="U488:U493" si="64">SUM(V488:Z488)</f>
        <v>576</v>
      </c>
      <c r="V488" s="110"/>
      <c r="W488" s="110">
        <v>338</v>
      </c>
      <c r="X488" s="110">
        <v>238</v>
      </c>
      <c r="Y488" s="110"/>
      <c r="Z488" s="110"/>
      <c r="AA488" s="110"/>
      <c r="AB488" s="110"/>
      <c r="AC488" s="110"/>
      <c r="AD488" s="110"/>
      <c r="AE488" s="110">
        <f t="shared" si="58"/>
        <v>163</v>
      </c>
      <c r="AF488" s="224">
        <v>1.4370000000000001</v>
      </c>
      <c r="AG488" s="198">
        <v>2.9554</v>
      </c>
      <c r="AH488" s="199">
        <v>411</v>
      </c>
      <c r="AI488" s="199">
        <v>402</v>
      </c>
      <c r="AJ488" s="65" t="s">
        <v>92</v>
      </c>
      <c r="AK488" s="196">
        <v>2016</v>
      </c>
      <c r="AL488" s="196">
        <v>2022</v>
      </c>
      <c r="AM488" s="200">
        <v>44189</v>
      </c>
      <c r="AN488" s="200">
        <v>41274</v>
      </c>
      <c r="AO488" s="107">
        <v>42257</v>
      </c>
      <c r="AP488" s="107">
        <v>42257</v>
      </c>
      <c r="AQ488" s="107">
        <v>42824</v>
      </c>
      <c r="AR488" s="107">
        <v>42396</v>
      </c>
      <c r="AS488" s="107"/>
      <c r="AT488" s="107"/>
      <c r="AU488" s="107">
        <v>42031</v>
      </c>
      <c r="AV488" s="203" t="s">
        <v>70</v>
      </c>
      <c r="AW488" s="204" t="s">
        <v>70</v>
      </c>
      <c r="AX488" s="107"/>
      <c r="AY488" s="107">
        <v>42863</v>
      </c>
      <c r="AZ488" s="107">
        <v>44582</v>
      </c>
      <c r="BA488" s="108">
        <v>45715</v>
      </c>
      <c r="BB488" s="107"/>
      <c r="BC488" s="107"/>
      <c r="BD488" s="107"/>
      <c r="BE488" s="107"/>
      <c r="BF488" s="107"/>
      <c r="BG488" s="321"/>
      <c r="BH488" s="285" t="s">
        <v>1603</v>
      </c>
    </row>
    <row r="489" spans="1:60" s="61" customFormat="1" ht="20.100000000000001" customHeight="1">
      <c r="A489" s="195">
        <v>484</v>
      </c>
      <c r="B489" s="196" t="s">
        <v>1175</v>
      </c>
      <c r="C489" s="65" t="s">
        <v>66</v>
      </c>
      <c r="D489" s="65" t="s">
        <v>73</v>
      </c>
      <c r="E489" s="65" t="s">
        <v>1200</v>
      </c>
      <c r="F489" s="65" t="s">
        <v>1201</v>
      </c>
      <c r="G489" s="110">
        <v>60046</v>
      </c>
      <c r="H489" s="196" t="s">
        <v>1202</v>
      </c>
      <c r="I489" s="110">
        <v>43</v>
      </c>
      <c r="J489" s="110">
        <f t="shared" si="63"/>
        <v>1260</v>
      </c>
      <c r="K489" s="110">
        <v>232</v>
      </c>
      <c r="L489" s="110">
        <v>486</v>
      </c>
      <c r="M489" s="110">
        <v>542</v>
      </c>
      <c r="N489" s="110"/>
      <c r="O489" s="110"/>
      <c r="P489" s="197">
        <f>SUM(Q489:S489)</f>
        <v>1843</v>
      </c>
      <c r="Q489" s="197">
        <v>1110</v>
      </c>
      <c r="R489" s="197">
        <v>688</v>
      </c>
      <c r="S489" s="197">
        <v>45</v>
      </c>
      <c r="T489" s="197">
        <f t="shared" si="62"/>
        <v>1843</v>
      </c>
      <c r="U489" s="110">
        <f t="shared" si="64"/>
        <v>1798</v>
      </c>
      <c r="V489" s="110"/>
      <c r="W489" s="110">
        <v>1603</v>
      </c>
      <c r="X489" s="110">
        <v>195</v>
      </c>
      <c r="Y489" s="110"/>
      <c r="Z489" s="110"/>
      <c r="AA489" s="110">
        <f>SUM(AB489:AD489)</f>
        <v>45</v>
      </c>
      <c r="AB489" s="110"/>
      <c r="AC489" s="110">
        <v>45</v>
      </c>
      <c r="AD489" s="110"/>
      <c r="AE489" s="110">
        <f t="shared" si="58"/>
        <v>583</v>
      </c>
      <c r="AF489" s="224">
        <v>1.29</v>
      </c>
      <c r="AG489" s="198">
        <v>2.9</v>
      </c>
      <c r="AH489" s="199">
        <v>1299</v>
      </c>
      <c r="AI489" s="199">
        <v>1121</v>
      </c>
      <c r="AJ489" s="196" t="s">
        <v>92</v>
      </c>
      <c r="AK489" s="196">
        <v>2010</v>
      </c>
      <c r="AL489" s="196"/>
      <c r="AM489" s="200">
        <v>44189</v>
      </c>
      <c r="AN489" s="200"/>
      <c r="AO489" s="107"/>
      <c r="AP489" s="107">
        <v>39744</v>
      </c>
      <c r="AQ489" s="107">
        <v>43321</v>
      </c>
      <c r="AR489" s="107">
        <v>37985</v>
      </c>
      <c r="AS489" s="107">
        <v>37771</v>
      </c>
      <c r="AT489" s="107"/>
      <c r="AU489" s="107">
        <v>37785</v>
      </c>
      <c r="AV489" s="203" t="s">
        <v>70</v>
      </c>
      <c r="AW489" s="204" t="s">
        <v>70</v>
      </c>
      <c r="AX489" s="107"/>
      <c r="AY489" s="107">
        <v>39876</v>
      </c>
      <c r="AZ489" s="107">
        <v>40438</v>
      </c>
      <c r="BA489" s="107">
        <v>41018</v>
      </c>
      <c r="BB489" s="107"/>
      <c r="BC489" s="107"/>
      <c r="BD489" s="107"/>
      <c r="BE489" s="107"/>
      <c r="BF489" s="107"/>
      <c r="BG489" s="321"/>
      <c r="BH489" s="285" t="s">
        <v>1604</v>
      </c>
    </row>
    <row r="490" spans="1:60" s="61" customFormat="1" ht="20.100000000000001" customHeight="1">
      <c r="A490" s="195">
        <v>485</v>
      </c>
      <c r="B490" s="196" t="s">
        <v>1175</v>
      </c>
      <c r="C490" s="65" t="s">
        <v>137</v>
      </c>
      <c r="D490" s="65" t="s">
        <v>73</v>
      </c>
      <c r="E490" s="65" t="s">
        <v>1203</v>
      </c>
      <c r="F490" s="65" t="s">
        <v>1204</v>
      </c>
      <c r="G490" s="110">
        <v>39162</v>
      </c>
      <c r="H490" s="196" t="s">
        <v>1205</v>
      </c>
      <c r="I490" s="110">
        <v>11</v>
      </c>
      <c r="J490" s="110">
        <f t="shared" si="63"/>
        <v>1005</v>
      </c>
      <c r="K490" s="110">
        <v>408</v>
      </c>
      <c r="L490" s="110">
        <v>597</v>
      </c>
      <c r="M490" s="110"/>
      <c r="N490" s="110"/>
      <c r="O490" s="110"/>
      <c r="P490" s="197">
        <f>SUM(Q490:S490)</f>
        <v>1108</v>
      </c>
      <c r="Q490" s="197">
        <v>820</v>
      </c>
      <c r="R490" s="197">
        <v>255</v>
      </c>
      <c r="S490" s="197">
        <v>33</v>
      </c>
      <c r="T490" s="197">
        <f t="shared" si="62"/>
        <v>1108</v>
      </c>
      <c r="U490" s="110">
        <f t="shared" si="64"/>
        <v>1075</v>
      </c>
      <c r="V490" s="110"/>
      <c r="W490" s="110">
        <v>802</v>
      </c>
      <c r="X490" s="110">
        <v>273</v>
      </c>
      <c r="Y490" s="110"/>
      <c r="Z490" s="110"/>
      <c r="AA490" s="110">
        <v>33</v>
      </c>
      <c r="AB490" s="110"/>
      <c r="AC490" s="110">
        <v>33</v>
      </c>
      <c r="AD490" s="110"/>
      <c r="AE490" s="110">
        <f t="shared" si="58"/>
        <v>103</v>
      </c>
      <c r="AF490" s="224">
        <v>1.88</v>
      </c>
      <c r="AG490" s="198">
        <v>2.7347999999999999</v>
      </c>
      <c r="AH490" s="199">
        <v>1017</v>
      </c>
      <c r="AI490" s="199">
        <v>819</v>
      </c>
      <c r="AJ490" s="196" t="s">
        <v>92</v>
      </c>
      <c r="AK490" s="196">
        <v>2010</v>
      </c>
      <c r="AL490" s="196">
        <v>2022</v>
      </c>
      <c r="AM490" s="200">
        <v>44189</v>
      </c>
      <c r="AN490" s="200">
        <v>41274</v>
      </c>
      <c r="AO490" s="200">
        <v>40556</v>
      </c>
      <c r="AP490" s="107">
        <v>40563</v>
      </c>
      <c r="AQ490" s="107">
        <v>42579</v>
      </c>
      <c r="AR490" s="107">
        <v>40718</v>
      </c>
      <c r="AS490" s="107">
        <v>37771</v>
      </c>
      <c r="AT490" s="107"/>
      <c r="AU490" s="107">
        <v>37791</v>
      </c>
      <c r="AV490" s="203" t="s">
        <v>70</v>
      </c>
      <c r="AW490" s="204" t="s">
        <v>70</v>
      </c>
      <c r="AX490" s="107"/>
      <c r="AY490" s="107">
        <v>40906</v>
      </c>
      <c r="AZ490" s="107">
        <v>42726</v>
      </c>
      <c r="BA490" s="107">
        <v>43003</v>
      </c>
      <c r="BB490" s="107">
        <v>43704</v>
      </c>
      <c r="BC490" s="107">
        <v>43705</v>
      </c>
      <c r="BD490" s="107">
        <v>44736</v>
      </c>
      <c r="BE490" s="108">
        <v>45050</v>
      </c>
      <c r="BF490" s="107">
        <v>45428</v>
      </c>
      <c r="BG490" s="328"/>
      <c r="BH490" s="285" t="s">
        <v>1603</v>
      </c>
    </row>
    <row r="491" spans="1:60" s="61" customFormat="1" ht="20.100000000000001" customHeight="1">
      <c r="A491" s="195">
        <v>486</v>
      </c>
      <c r="B491" s="196" t="s">
        <v>1175</v>
      </c>
      <c r="C491" s="65" t="s">
        <v>68</v>
      </c>
      <c r="D491" s="65" t="s">
        <v>73</v>
      </c>
      <c r="E491" s="65" t="s">
        <v>1206</v>
      </c>
      <c r="F491" s="65" t="s">
        <v>1207</v>
      </c>
      <c r="G491" s="110">
        <v>23290</v>
      </c>
      <c r="H491" s="196">
        <v>1979</v>
      </c>
      <c r="I491" s="110">
        <v>9</v>
      </c>
      <c r="J491" s="110">
        <f t="shared" si="63"/>
        <v>177</v>
      </c>
      <c r="K491" s="110">
        <v>22</v>
      </c>
      <c r="L491" s="110">
        <v>24</v>
      </c>
      <c r="M491" s="110">
        <v>75</v>
      </c>
      <c r="N491" s="110">
        <v>41</v>
      </c>
      <c r="O491" s="110">
        <v>15</v>
      </c>
      <c r="P491" s="197">
        <f>SUM(Q491:S491)</f>
        <v>317</v>
      </c>
      <c r="Q491" s="197">
        <v>176</v>
      </c>
      <c r="R491" s="197">
        <v>107</v>
      </c>
      <c r="S491" s="197">
        <v>34</v>
      </c>
      <c r="T491" s="197">
        <f t="shared" si="62"/>
        <v>317</v>
      </c>
      <c r="U491" s="110">
        <f t="shared" si="64"/>
        <v>283</v>
      </c>
      <c r="V491" s="110"/>
      <c r="W491" s="110"/>
      <c r="X491" s="110">
        <v>283</v>
      </c>
      <c r="Y491" s="110"/>
      <c r="Z491" s="110"/>
      <c r="AA491" s="110">
        <f>SUM(AB491:AD491)</f>
        <v>34</v>
      </c>
      <c r="AB491" s="110"/>
      <c r="AC491" s="110">
        <v>34</v>
      </c>
      <c r="AD491" s="110"/>
      <c r="AE491" s="110">
        <f t="shared" si="58"/>
        <v>140</v>
      </c>
      <c r="AF491" s="224">
        <v>0.96</v>
      </c>
      <c r="AG491" s="198">
        <v>2.12</v>
      </c>
      <c r="AH491" s="199">
        <v>162</v>
      </c>
      <c r="AI491" s="199">
        <v>162</v>
      </c>
      <c r="AJ491" s="196" t="s">
        <v>92</v>
      </c>
      <c r="AK491" s="196">
        <v>2000</v>
      </c>
      <c r="AL491" s="196">
        <v>2013</v>
      </c>
      <c r="AM491" s="200" t="s">
        <v>563</v>
      </c>
      <c r="AN491" s="200"/>
      <c r="AO491" s="200"/>
      <c r="AP491" s="107">
        <v>39265</v>
      </c>
      <c r="AQ491" s="107"/>
      <c r="AR491" s="107"/>
      <c r="AS491" s="107"/>
      <c r="AT491" s="107"/>
      <c r="AU491" s="107">
        <v>36479</v>
      </c>
      <c r="AV491" s="203" t="s">
        <v>70</v>
      </c>
      <c r="AW491" s="204" t="s">
        <v>70</v>
      </c>
      <c r="AX491" s="107"/>
      <c r="AY491" s="107">
        <v>36602</v>
      </c>
      <c r="AZ491" s="107">
        <v>40120</v>
      </c>
      <c r="BA491" s="107">
        <v>40267</v>
      </c>
      <c r="BB491" s="107">
        <v>40676</v>
      </c>
      <c r="BC491" s="107">
        <v>41410</v>
      </c>
      <c r="BD491" s="107">
        <v>41638</v>
      </c>
      <c r="BE491" s="107">
        <v>41683</v>
      </c>
      <c r="BF491" s="107"/>
      <c r="BG491" s="321"/>
      <c r="BH491" s="285" t="s">
        <v>1604</v>
      </c>
    </row>
    <row r="492" spans="1:60" s="61" customFormat="1" ht="20.100000000000001" customHeight="1">
      <c r="A492" s="195">
        <v>487</v>
      </c>
      <c r="B492" s="196" t="s">
        <v>1175</v>
      </c>
      <c r="C492" s="65" t="s">
        <v>69</v>
      </c>
      <c r="D492" s="65" t="s">
        <v>73</v>
      </c>
      <c r="E492" s="65" t="s">
        <v>1208</v>
      </c>
      <c r="F492" s="65" t="s">
        <v>1209</v>
      </c>
      <c r="G492" s="110">
        <v>61301</v>
      </c>
      <c r="H492" s="196" t="s">
        <v>1210</v>
      </c>
      <c r="I492" s="110">
        <v>222</v>
      </c>
      <c r="J492" s="110">
        <f t="shared" si="63"/>
        <v>1470</v>
      </c>
      <c r="K492" s="110">
        <v>290</v>
      </c>
      <c r="L492" s="110">
        <v>266</v>
      </c>
      <c r="M492" s="110">
        <v>557</v>
      </c>
      <c r="N492" s="110">
        <v>340</v>
      </c>
      <c r="O492" s="110">
        <v>17</v>
      </c>
      <c r="P492" s="197">
        <f>SUM(Q492:S492)</f>
        <v>1008</v>
      </c>
      <c r="Q492" s="197">
        <v>762</v>
      </c>
      <c r="R492" s="197">
        <v>213</v>
      </c>
      <c r="S492" s="197">
        <v>33</v>
      </c>
      <c r="T492" s="197">
        <f t="shared" si="62"/>
        <v>1008</v>
      </c>
      <c r="U492" s="110">
        <f t="shared" si="64"/>
        <v>975</v>
      </c>
      <c r="V492" s="110"/>
      <c r="W492" s="110">
        <v>209</v>
      </c>
      <c r="X492" s="110">
        <v>498</v>
      </c>
      <c r="Y492" s="110">
        <v>268</v>
      </c>
      <c r="Z492" s="110"/>
      <c r="AA492" s="110">
        <f>SUM(AB492:AD492)</f>
        <v>33</v>
      </c>
      <c r="AB492" s="110"/>
      <c r="AC492" s="110">
        <v>33</v>
      </c>
      <c r="AD492" s="110"/>
      <c r="AE492" s="110">
        <f t="shared" si="58"/>
        <v>-462</v>
      </c>
      <c r="AF492" s="224">
        <v>1.2</v>
      </c>
      <c r="AG492" s="198">
        <v>2.4500000000000002</v>
      </c>
      <c r="AH492" s="199">
        <v>789</v>
      </c>
      <c r="AI492" s="199">
        <v>681</v>
      </c>
      <c r="AJ492" s="196" t="s">
        <v>92</v>
      </c>
      <c r="AK492" s="196">
        <v>2003</v>
      </c>
      <c r="AL492" s="196">
        <v>2015</v>
      </c>
      <c r="AM492" s="200" t="s">
        <v>126</v>
      </c>
      <c r="AN492" s="200"/>
      <c r="AO492" s="200"/>
      <c r="AP492" s="107">
        <v>38961</v>
      </c>
      <c r="AQ492" s="107">
        <v>42558</v>
      </c>
      <c r="AR492" s="107"/>
      <c r="AS492" s="107">
        <v>37741</v>
      </c>
      <c r="AT492" s="107"/>
      <c r="AU492" s="107">
        <v>37741</v>
      </c>
      <c r="AV492" s="203" t="s">
        <v>70</v>
      </c>
      <c r="AW492" s="204" t="s">
        <v>70</v>
      </c>
      <c r="AX492" s="107"/>
      <c r="AY492" s="107">
        <v>37797</v>
      </c>
      <c r="AZ492" s="107">
        <v>39163</v>
      </c>
      <c r="BA492" s="107">
        <v>39447</v>
      </c>
      <c r="BB492" s="107">
        <v>41114</v>
      </c>
      <c r="BC492" s="107">
        <v>41408</v>
      </c>
      <c r="BD492" s="107">
        <v>42916</v>
      </c>
      <c r="BE492" s="107">
        <v>43040</v>
      </c>
      <c r="BF492" s="107">
        <v>43769</v>
      </c>
      <c r="BG492" s="321">
        <v>45870</v>
      </c>
      <c r="BH492" s="285" t="s">
        <v>1604</v>
      </c>
    </row>
    <row r="493" spans="1:60" s="76" customFormat="1" ht="20.100000000000001" customHeight="1">
      <c r="A493" s="195">
        <v>488</v>
      </c>
      <c r="B493" s="196" t="s">
        <v>1175</v>
      </c>
      <c r="C493" s="65" t="s">
        <v>69</v>
      </c>
      <c r="D493" s="65" t="s">
        <v>73</v>
      </c>
      <c r="E493" s="65" t="s">
        <v>1211</v>
      </c>
      <c r="F493" s="65" t="s">
        <v>1212</v>
      </c>
      <c r="G493" s="110">
        <v>28211</v>
      </c>
      <c r="H493" s="196" t="s">
        <v>1213</v>
      </c>
      <c r="I493" s="110">
        <v>118</v>
      </c>
      <c r="J493" s="110">
        <f t="shared" si="63"/>
        <v>212</v>
      </c>
      <c r="K493" s="110">
        <v>40</v>
      </c>
      <c r="L493" s="110">
        <v>34</v>
      </c>
      <c r="M493" s="110">
        <v>80</v>
      </c>
      <c r="N493" s="110">
        <v>53</v>
      </c>
      <c r="O493" s="110">
        <v>5</v>
      </c>
      <c r="P493" s="197">
        <f>SUM(Q493:S493)</f>
        <v>457</v>
      </c>
      <c r="Q493" s="197">
        <v>178</v>
      </c>
      <c r="R493" s="197">
        <v>258</v>
      </c>
      <c r="S493" s="197">
        <v>21</v>
      </c>
      <c r="T493" s="197">
        <f t="shared" si="62"/>
        <v>457</v>
      </c>
      <c r="U493" s="110">
        <f t="shared" si="64"/>
        <v>436</v>
      </c>
      <c r="V493" s="110"/>
      <c r="W493" s="110">
        <v>81</v>
      </c>
      <c r="X493" s="110">
        <v>251</v>
      </c>
      <c r="Y493" s="110">
        <v>104</v>
      </c>
      <c r="Z493" s="110"/>
      <c r="AA493" s="110">
        <f>SUM(AB493:AD493)</f>
        <v>21</v>
      </c>
      <c r="AB493" s="110"/>
      <c r="AC493" s="110">
        <v>21</v>
      </c>
      <c r="AD493" s="110"/>
      <c r="AE493" s="110">
        <f t="shared" si="58"/>
        <v>245</v>
      </c>
      <c r="AF493" s="224">
        <v>0.83099999999999996</v>
      </c>
      <c r="AG493" s="198">
        <v>2.65</v>
      </c>
      <c r="AH493" s="199">
        <v>199</v>
      </c>
      <c r="AI493" s="199">
        <v>178</v>
      </c>
      <c r="AJ493" s="196" t="s">
        <v>92</v>
      </c>
      <c r="AK493" s="196">
        <v>2003</v>
      </c>
      <c r="AL493" s="196">
        <v>2014</v>
      </c>
      <c r="AM493" s="200" t="s">
        <v>126</v>
      </c>
      <c r="AN493" s="200"/>
      <c r="AO493" s="200"/>
      <c r="AP493" s="107">
        <v>39016</v>
      </c>
      <c r="AQ493" s="107"/>
      <c r="AR493" s="107">
        <v>37950</v>
      </c>
      <c r="AS493" s="107">
        <v>39029</v>
      </c>
      <c r="AT493" s="107"/>
      <c r="AU493" s="107">
        <v>39029</v>
      </c>
      <c r="AV493" s="203" t="s">
        <v>70</v>
      </c>
      <c r="AW493" s="204" t="s">
        <v>70</v>
      </c>
      <c r="AX493" s="107"/>
      <c r="AY493" s="107">
        <v>37959</v>
      </c>
      <c r="AZ493" s="107">
        <v>39286</v>
      </c>
      <c r="BA493" s="107">
        <v>39450</v>
      </c>
      <c r="BB493" s="107">
        <v>41037</v>
      </c>
      <c r="BC493" s="107">
        <v>41204</v>
      </c>
      <c r="BD493" s="107">
        <v>42712</v>
      </c>
      <c r="BE493" s="107">
        <v>42950</v>
      </c>
      <c r="BF493" s="107">
        <v>43224</v>
      </c>
      <c r="BG493" s="321">
        <v>45455</v>
      </c>
      <c r="BH493" s="285" t="s">
        <v>1604</v>
      </c>
    </row>
    <row r="494" spans="1:60" s="61" customFormat="1" ht="20.100000000000001" customHeight="1">
      <c r="A494" s="195">
        <v>489</v>
      </c>
      <c r="B494" s="196" t="s">
        <v>1214</v>
      </c>
      <c r="C494" s="65" t="s">
        <v>62</v>
      </c>
      <c r="D494" s="65" t="s">
        <v>85</v>
      </c>
      <c r="E494" s="65" t="s">
        <v>1215</v>
      </c>
      <c r="F494" s="65" t="s">
        <v>1216</v>
      </c>
      <c r="G494" s="110">
        <v>15843</v>
      </c>
      <c r="H494" s="196" t="s">
        <v>1217</v>
      </c>
      <c r="I494" s="110">
        <v>48</v>
      </c>
      <c r="J494" s="110">
        <f t="shared" si="63"/>
        <v>47</v>
      </c>
      <c r="K494" s="110"/>
      <c r="L494" s="110">
        <v>21</v>
      </c>
      <c r="M494" s="110">
        <v>24</v>
      </c>
      <c r="N494" s="110">
        <v>2</v>
      </c>
      <c r="O494" s="110"/>
      <c r="P494" s="197">
        <v>310</v>
      </c>
      <c r="Q494" s="197">
        <v>66</v>
      </c>
      <c r="R494" s="197"/>
      <c r="S494" s="197">
        <v>20</v>
      </c>
      <c r="T494" s="197">
        <f t="shared" si="62"/>
        <v>310</v>
      </c>
      <c r="U494" s="110">
        <f>V494+W494+X494+Y494</f>
        <v>290</v>
      </c>
      <c r="V494" s="110"/>
      <c r="W494" s="110">
        <v>45</v>
      </c>
      <c r="X494" s="110">
        <v>245</v>
      </c>
      <c r="Y494" s="110"/>
      <c r="Z494" s="110"/>
      <c r="AA494" s="110">
        <f>SUM(AB494:AD494)</f>
        <v>20</v>
      </c>
      <c r="AB494" s="110">
        <v>20</v>
      </c>
      <c r="AC494" s="110"/>
      <c r="AD494" s="110"/>
      <c r="AE494" s="110">
        <f t="shared" si="58"/>
        <v>263</v>
      </c>
      <c r="AF494" s="224" t="s">
        <v>196</v>
      </c>
      <c r="AG494" s="198">
        <v>2.5</v>
      </c>
      <c r="AH494" s="199">
        <v>66</v>
      </c>
      <c r="AI494" s="199" t="s">
        <v>70</v>
      </c>
      <c r="AJ494" s="196"/>
      <c r="AK494" s="196">
        <v>2023</v>
      </c>
      <c r="AL494" s="196">
        <v>2032</v>
      </c>
      <c r="AM494" s="200" t="s">
        <v>1218</v>
      </c>
      <c r="AN494" s="202"/>
      <c r="AO494" s="107"/>
      <c r="AP494" s="107">
        <v>45666</v>
      </c>
      <c r="AQ494" s="107"/>
      <c r="AR494" s="107"/>
      <c r="AS494" s="107"/>
      <c r="AT494" s="107"/>
      <c r="AU494" s="107"/>
      <c r="AV494" s="107"/>
      <c r="AW494" s="196"/>
      <c r="AX494" s="107"/>
      <c r="AY494" s="107"/>
      <c r="AZ494" s="107"/>
      <c r="BA494" s="107"/>
      <c r="BB494" s="107"/>
      <c r="BC494" s="107"/>
      <c r="BD494" s="107"/>
      <c r="BE494" s="107"/>
      <c r="BF494" s="107"/>
      <c r="BG494" s="321"/>
      <c r="BH494" s="285" t="s">
        <v>1605</v>
      </c>
    </row>
    <row r="495" spans="1:60" s="61" customFormat="1" ht="20.100000000000001" customHeight="1">
      <c r="A495" s="195">
        <v>490</v>
      </c>
      <c r="B495" s="196" t="s">
        <v>1214</v>
      </c>
      <c r="C495" s="65" t="s">
        <v>64</v>
      </c>
      <c r="D495" s="65" t="s">
        <v>85</v>
      </c>
      <c r="E495" s="65" t="s">
        <v>1219</v>
      </c>
      <c r="F495" s="65" t="s">
        <v>1220</v>
      </c>
      <c r="G495" s="110">
        <v>68771</v>
      </c>
      <c r="H495" s="196" t="s">
        <v>1217</v>
      </c>
      <c r="I495" s="110">
        <v>328</v>
      </c>
      <c r="J495" s="110">
        <v>328</v>
      </c>
      <c r="K495" s="110"/>
      <c r="L495" s="110">
        <v>64</v>
      </c>
      <c r="M495" s="110">
        <v>51</v>
      </c>
      <c r="N495" s="110">
        <v>213</v>
      </c>
      <c r="O495" s="110"/>
      <c r="P495" s="197">
        <v>1293</v>
      </c>
      <c r="Q495" s="197">
        <v>620</v>
      </c>
      <c r="R495" s="197">
        <v>607</v>
      </c>
      <c r="S495" s="197">
        <v>66</v>
      </c>
      <c r="T495" s="197">
        <f t="shared" si="62"/>
        <v>1293</v>
      </c>
      <c r="U495" s="110">
        <f>V495+W495+X495+Y495</f>
        <v>1227</v>
      </c>
      <c r="V495" s="110"/>
      <c r="W495" s="110">
        <v>460</v>
      </c>
      <c r="X495" s="110">
        <f>259+429</f>
        <v>688</v>
      </c>
      <c r="Y495" s="110">
        <v>79</v>
      </c>
      <c r="Z495" s="110"/>
      <c r="AA495" s="110">
        <v>66</v>
      </c>
      <c r="AB495" s="110">
        <v>66</v>
      </c>
      <c r="AC495" s="110"/>
      <c r="AD495" s="110"/>
      <c r="AE495" s="110">
        <f t="shared" si="58"/>
        <v>965</v>
      </c>
      <c r="AF495" s="224" t="s">
        <v>196</v>
      </c>
      <c r="AG495" s="198">
        <v>2.5</v>
      </c>
      <c r="AH495" s="199">
        <v>718</v>
      </c>
      <c r="AI495" s="199">
        <v>717</v>
      </c>
      <c r="AJ495" s="196" t="s">
        <v>92</v>
      </c>
      <c r="AK495" s="196">
        <v>2025</v>
      </c>
      <c r="AL495" s="196">
        <v>2034</v>
      </c>
      <c r="AM495" s="200" t="s">
        <v>1218</v>
      </c>
      <c r="AN495" s="200"/>
      <c r="AO495" s="107"/>
      <c r="AP495" s="107">
        <v>45750</v>
      </c>
      <c r="AQ495" s="107"/>
      <c r="AR495" s="107">
        <v>45910</v>
      </c>
      <c r="AS495" s="107"/>
      <c r="AT495" s="107"/>
      <c r="AU495" s="107"/>
      <c r="AV495" s="203"/>
      <c r="AW495" s="204"/>
      <c r="AX495" s="107"/>
      <c r="AY495" s="107">
        <v>46181</v>
      </c>
      <c r="AZ495" s="107"/>
      <c r="BA495" s="107"/>
      <c r="BB495" s="107"/>
      <c r="BC495" s="107"/>
      <c r="BD495" s="107"/>
      <c r="BE495" s="107"/>
      <c r="BF495" s="107"/>
      <c r="BG495" s="321"/>
      <c r="BH495" s="285" t="s">
        <v>1605</v>
      </c>
    </row>
    <row r="496" spans="1:60" s="56" customFormat="1" ht="20.100000000000001" customHeight="1">
      <c r="A496" s="195">
        <v>491</v>
      </c>
      <c r="B496" s="196" t="s">
        <v>1214</v>
      </c>
      <c r="C496" s="65" t="s">
        <v>88</v>
      </c>
      <c r="D496" s="65" t="s">
        <v>85</v>
      </c>
      <c r="E496" s="65" t="s">
        <v>1221</v>
      </c>
      <c r="F496" s="65" t="s">
        <v>1222</v>
      </c>
      <c r="G496" s="110">
        <v>92213</v>
      </c>
      <c r="H496" s="196" t="s">
        <v>1217</v>
      </c>
      <c r="I496" s="110">
        <v>391</v>
      </c>
      <c r="J496" s="110">
        <f>SUM(K496:O496)</f>
        <v>903</v>
      </c>
      <c r="K496" s="110">
        <v>244</v>
      </c>
      <c r="L496" s="110">
        <v>187</v>
      </c>
      <c r="M496" s="110">
        <v>178</v>
      </c>
      <c r="N496" s="110">
        <v>46</v>
      </c>
      <c r="O496" s="110">
        <v>248</v>
      </c>
      <c r="P496" s="197">
        <v>1701</v>
      </c>
      <c r="Q496" s="197">
        <v>947</v>
      </c>
      <c r="R496" s="197"/>
      <c r="S496" s="197">
        <v>112</v>
      </c>
      <c r="T496" s="197">
        <f t="shared" si="62"/>
        <v>1701</v>
      </c>
      <c r="U496" s="110">
        <f>SUM(V496:Z496)</f>
        <v>1589</v>
      </c>
      <c r="V496" s="110">
        <f>160-83</f>
        <v>77</v>
      </c>
      <c r="W496" s="110">
        <f>658-29</f>
        <v>629</v>
      </c>
      <c r="X496" s="110">
        <v>883</v>
      </c>
      <c r="Y496" s="110"/>
      <c r="Z496" s="110"/>
      <c r="AA496" s="110">
        <f>SUM(AB496:AD496)</f>
        <v>112</v>
      </c>
      <c r="AB496" s="110">
        <v>83</v>
      </c>
      <c r="AC496" s="110">
        <v>29</v>
      </c>
      <c r="AD496" s="110"/>
      <c r="AE496" s="110">
        <f t="shared" si="58"/>
        <v>798</v>
      </c>
      <c r="AF496" s="224" t="s">
        <v>196</v>
      </c>
      <c r="AG496" s="198">
        <v>2.5</v>
      </c>
      <c r="AH496" s="199">
        <v>954</v>
      </c>
      <c r="AI496" s="199" t="s">
        <v>70</v>
      </c>
      <c r="AJ496" s="196" t="s">
        <v>92</v>
      </c>
      <c r="AK496" s="196">
        <v>2023</v>
      </c>
      <c r="AL496" s="196">
        <v>2032</v>
      </c>
      <c r="AM496" s="200" t="s">
        <v>1218</v>
      </c>
      <c r="AN496" s="200"/>
      <c r="AO496" s="107"/>
      <c r="AP496" s="107">
        <v>45713</v>
      </c>
      <c r="AQ496" s="107"/>
      <c r="AR496" s="107">
        <v>45908</v>
      </c>
      <c r="AS496" s="107"/>
      <c r="AT496" s="107"/>
      <c r="AU496" s="107"/>
      <c r="AV496" s="203"/>
      <c r="AW496" s="204"/>
      <c r="AX496" s="107"/>
      <c r="AY496" s="107"/>
      <c r="AZ496" s="107"/>
      <c r="BA496" s="107"/>
      <c r="BB496" s="107"/>
      <c r="BC496" s="107"/>
      <c r="BD496" s="107"/>
      <c r="BE496" s="107"/>
      <c r="BF496" s="107"/>
      <c r="BG496" s="321"/>
      <c r="BH496" s="285" t="s">
        <v>1606</v>
      </c>
    </row>
    <row r="497" spans="1:60" s="56" customFormat="1" ht="20.100000000000001" customHeight="1">
      <c r="A497" s="195">
        <v>492</v>
      </c>
      <c r="B497" s="196" t="s">
        <v>1214</v>
      </c>
      <c r="C497" s="65" t="s">
        <v>64</v>
      </c>
      <c r="D497" s="65" t="s">
        <v>85</v>
      </c>
      <c r="E497" s="65" t="s">
        <v>1223</v>
      </c>
      <c r="F497" s="65" t="s">
        <v>1224</v>
      </c>
      <c r="G497" s="110">
        <v>127296</v>
      </c>
      <c r="H497" s="196" t="s">
        <v>1217</v>
      </c>
      <c r="I497" s="110">
        <v>581</v>
      </c>
      <c r="J497" s="110">
        <f>SUM(K497:O497)</f>
        <v>779</v>
      </c>
      <c r="K497" s="110">
        <v>245</v>
      </c>
      <c r="L497" s="110">
        <v>79</v>
      </c>
      <c r="M497" s="110">
        <v>140</v>
      </c>
      <c r="N497" s="110">
        <v>98</v>
      </c>
      <c r="O497" s="110">
        <v>217</v>
      </c>
      <c r="P497" s="197">
        <v>2319</v>
      </c>
      <c r="Q497" s="197">
        <v>901</v>
      </c>
      <c r="R497" s="197"/>
      <c r="S497" s="197">
        <v>215</v>
      </c>
      <c r="T497" s="197">
        <f t="shared" si="62"/>
        <v>2319</v>
      </c>
      <c r="U497" s="110">
        <f>SUM(V497:Z497)</f>
        <v>2104</v>
      </c>
      <c r="V497" s="110"/>
      <c r="W497" s="110">
        <f>1033-117</f>
        <v>916</v>
      </c>
      <c r="X497" s="110">
        <v>890</v>
      </c>
      <c r="Y497" s="110">
        <v>298</v>
      </c>
      <c r="Z497" s="110"/>
      <c r="AA497" s="110">
        <f>SUM(AB497:AD497)</f>
        <v>215</v>
      </c>
      <c r="AB497" s="110">
        <v>98</v>
      </c>
      <c r="AC497" s="110">
        <v>117</v>
      </c>
      <c r="AD497" s="110"/>
      <c r="AE497" s="110">
        <f t="shared" si="58"/>
        <v>1540</v>
      </c>
      <c r="AF497" s="224" t="s">
        <v>196</v>
      </c>
      <c r="AG497" s="198">
        <v>2.5</v>
      </c>
      <c r="AH497" s="199">
        <v>964</v>
      </c>
      <c r="AI497" s="199">
        <v>969</v>
      </c>
      <c r="AJ497" s="196" t="s">
        <v>92</v>
      </c>
      <c r="AK497" s="196">
        <v>2023</v>
      </c>
      <c r="AL497" s="196">
        <v>2032</v>
      </c>
      <c r="AM497" s="200" t="s">
        <v>1218</v>
      </c>
      <c r="AN497" s="200"/>
      <c r="AO497" s="107"/>
      <c r="AP497" s="107">
        <v>45657</v>
      </c>
      <c r="AQ497" s="107"/>
      <c r="AR497" s="107">
        <v>45765</v>
      </c>
      <c r="AS497" s="107"/>
      <c r="AT497" s="107"/>
      <c r="AU497" s="107"/>
      <c r="AV497" s="203"/>
      <c r="AW497" s="204"/>
      <c r="AX497" s="107"/>
      <c r="AY497" s="107">
        <v>46134</v>
      </c>
      <c r="AZ497" s="107"/>
      <c r="BA497" s="107"/>
      <c r="BB497" s="107"/>
      <c r="BC497" s="107"/>
      <c r="BD497" s="107"/>
      <c r="BE497" s="107"/>
      <c r="BF497" s="107"/>
      <c r="BG497" s="321"/>
      <c r="BH497" s="285" t="s">
        <v>1607</v>
      </c>
    </row>
    <row r="498" spans="1:60" s="61" customFormat="1" ht="20.100000000000001" customHeight="1">
      <c r="A498" s="195">
        <v>493</v>
      </c>
      <c r="B498" s="196" t="s">
        <v>1214</v>
      </c>
      <c r="C498" s="65" t="s">
        <v>88</v>
      </c>
      <c r="D498" s="65" t="s">
        <v>85</v>
      </c>
      <c r="E498" s="65" t="s">
        <v>1225</v>
      </c>
      <c r="F498" s="65" t="s">
        <v>1216</v>
      </c>
      <c r="G498" s="110">
        <v>81056.3</v>
      </c>
      <c r="H498" s="196" t="s">
        <v>1217</v>
      </c>
      <c r="I498" s="110">
        <v>321</v>
      </c>
      <c r="J498" s="110">
        <f>K498+L498+M498+N498+O498</f>
        <v>1016</v>
      </c>
      <c r="K498" s="110"/>
      <c r="L498" s="110">
        <v>41</v>
      </c>
      <c r="M498" s="110">
        <v>428</v>
      </c>
      <c r="N498" s="110">
        <v>274</v>
      </c>
      <c r="O498" s="110">
        <v>273</v>
      </c>
      <c r="P498" s="197">
        <f>Q498+S498</f>
        <v>1198</v>
      </c>
      <c r="Q498" s="197">
        <f>U498</f>
        <v>1138</v>
      </c>
      <c r="R498" s="197"/>
      <c r="S498" s="197">
        <f>AA498</f>
        <v>60</v>
      </c>
      <c r="T498" s="197">
        <f t="shared" si="62"/>
        <v>1198</v>
      </c>
      <c r="U498" s="110">
        <f>W498+X498+Y498</f>
        <v>1138</v>
      </c>
      <c r="V498" s="110"/>
      <c r="W498" s="110">
        <v>367</v>
      </c>
      <c r="X498" s="110">
        <f>177+506</f>
        <v>683</v>
      </c>
      <c r="Y498" s="110">
        <v>88</v>
      </c>
      <c r="Z498" s="110"/>
      <c r="AA498" s="110">
        <v>60</v>
      </c>
      <c r="AB498" s="110"/>
      <c r="AC498" s="110"/>
      <c r="AD498" s="110"/>
      <c r="AE498" s="110">
        <f t="shared" si="58"/>
        <v>182</v>
      </c>
      <c r="AF498" s="224" t="s">
        <v>196</v>
      </c>
      <c r="AG498" s="198">
        <v>2.5</v>
      </c>
      <c r="AH498" s="199">
        <v>632</v>
      </c>
      <c r="AI498" s="199"/>
      <c r="AJ498" s="196" t="s">
        <v>92</v>
      </c>
      <c r="AK498" s="196"/>
      <c r="AL498" s="196"/>
      <c r="AM498" s="200">
        <v>45926</v>
      </c>
      <c r="AN498" s="202" t="s">
        <v>1226</v>
      </c>
      <c r="AO498" s="202">
        <v>45926</v>
      </c>
      <c r="AP498" s="107">
        <v>46022</v>
      </c>
      <c r="AQ498" s="107"/>
      <c r="AR498" s="107">
        <v>45944</v>
      </c>
      <c r="AS498" s="107"/>
      <c r="AT498" s="107"/>
      <c r="AU498" s="107"/>
      <c r="AV498" s="107"/>
      <c r="AW498" s="196"/>
      <c r="AX498" s="107"/>
      <c r="AY498" s="107"/>
      <c r="AZ498" s="107"/>
      <c r="BA498" s="107"/>
      <c r="BB498" s="107"/>
      <c r="BC498" s="107"/>
      <c r="BD498" s="107"/>
      <c r="BE498" s="107"/>
      <c r="BF498" s="107"/>
      <c r="BG498" s="321"/>
      <c r="BH498" s="285" t="s">
        <v>1605</v>
      </c>
    </row>
    <row r="499" spans="1:60" s="61" customFormat="1" ht="19.5" customHeight="1">
      <c r="A499" s="195">
        <v>494</v>
      </c>
      <c r="B499" s="196" t="s">
        <v>1214</v>
      </c>
      <c r="C499" s="65" t="s">
        <v>64</v>
      </c>
      <c r="D499" s="65" t="s">
        <v>85</v>
      </c>
      <c r="E499" s="65" t="s">
        <v>1227</v>
      </c>
      <c r="F499" s="65" t="s">
        <v>1228</v>
      </c>
      <c r="G499" s="110">
        <v>50537</v>
      </c>
      <c r="H499" s="196" t="s">
        <v>1217</v>
      </c>
      <c r="I499" s="110">
        <v>179</v>
      </c>
      <c r="J499" s="110">
        <v>179</v>
      </c>
      <c r="K499" s="110">
        <v>3</v>
      </c>
      <c r="L499" s="110">
        <v>2</v>
      </c>
      <c r="M499" s="110">
        <v>10</v>
      </c>
      <c r="N499" s="110">
        <v>17</v>
      </c>
      <c r="O499" s="110">
        <v>147</v>
      </c>
      <c r="P499" s="197">
        <v>900</v>
      </c>
      <c r="Q499" s="197">
        <v>384</v>
      </c>
      <c r="R499" s="197">
        <v>468</v>
      </c>
      <c r="S499" s="197">
        <v>48</v>
      </c>
      <c r="T499" s="197">
        <f t="shared" si="62"/>
        <v>900</v>
      </c>
      <c r="U499" s="110">
        <f>W499+X499</f>
        <v>852</v>
      </c>
      <c r="V499" s="110"/>
      <c r="W499" s="110">
        <v>151</v>
      </c>
      <c r="X499" s="110">
        <v>701</v>
      </c>
      <c r="Y499" s="110"/>
      <c r="Z499" s="110"/>
      <c r="AA499" s="110">
        <v>48</v>
      </c>
      <c r="AB499" s="110">
        <v>48</v>
      </c>
      <c r="AC499" s="110"/>
      <c r="AD499" s="110"/>
      <c r="AE499" s="110">
        <f t="shared" si="58"/>
        <v>721</v>
      </c>
      <c r="AF499" s="224" t="s">
        <v>196</v>
      </c>
      <c r="AG499" s="198">
        <v>2.5</v>
      </c>
      <c r="AH499" s="199">
        <v>400</v>
      </c>
      <c r="AI499" s="199">
        <v>400</v>
      </c>
      <c r="AJ499" s="196" t="s">
        <v>92</v>
      </c>
      <c r="AK499" s="196">
        <v>2025</v>
      </c>
      <c r="AL499" s="196">
        <v>2034</v>
      </c>
      <c r="AM499" s="200" t="s">
        <v>1218</v>
      </c>
      <c r="AN499" s="200"/>
      <c r="AO499" s="107"/>
      <c r="AP499" s="107">
        <v>45749</v>
      </c>
      <c r="AQ499" s="107"/>
      <c r="AR499" s="107">
        <v>45904</v>
      </c>
      <c r="AS499" s="107"/>
      <c r="AT499" s="107"/>
      <c r="AU499" s="107"/>
      <c r="AV499" s="203"/>
      <c r="AW499" s="204"/>
      <c r="AX499" s="107"/>
      <c r="AY499" s="107">
        <v>46099</v>
      </c>
      <c r="AZ499" s="107"/>
      <c r="BA499" s="107"/>
      <c r="BB499" s="107"/>
      <c r="BC499" s="107"/>
      <c r="BD499" s="107"/>
      <c r="BE499" s="107"/>
      <c r="BF499" s="107"/>
      <c r="BG499" s="321"/>
      <c r="BH499" s="285" t="s">
        <v>1606</v>
      </c>
    </row>
    <row r="500" spans="1:60" s="56" customFormat="1" ht="20.100000000000001" customHeight="1">
      <c r="A500" s="195">
        <v>495</v>
      </c>
      <c r="B500" s="196" t="s">
        <v>1214</v>
      </c>
      <c r="C500" s="65" t="s">
        <v>64</v>
      </c>
      <c r="D500" s="65" t="s">
        <v>85</v>
      </c>
      <c r="E500" s="65" t="s">
        <v>1229</v>
      </c>
      <c r="F500" s="65" t="s">
        <v>1230</v>
      </c>
      <c r="G500" s="110">
        <v>29629.5</v>
      </c>
      <c r="H500" s="196" t="s">
        <v>1217</v>
      </c>
      <c r="I500" s="110">
        <v>105</v>
      </c>
      <c r="J500" s="110">
        <f>SUM(K500:O500)</f>
        <v>105</v>
      </c>
      <c r="K500" s="110">
        <v>19</v>
      </c>
      <c r="L500" s="110">
        <v>8</v>
      </c>
      <c r="M500" s="110">
        <v>13</v>
      </c>
      <c r="N500" s="110">
        <v>9</v>
      </c>
      <c r="O500" s="110">
        <v>56</v>
      </c>
      <c r="P500" s="197">
        <v>698</v>
      </c>
      <c r="Q500" s="197">
        <v>168</v>
      </c>
      <c r="R500" s="197">
        <v>494</v>
      </c>
      <c r="S500" s="197">
        <v>36</v>
      </c>
      <c r="T500" s="197">
        <f t="shared" si="62"/>
        <v>698</v>
      </c>
      <c r="U500" s="110">
        <f>SUM(V500:Z500)</f>
        <v>662</v>
      </c>
      <c r="V500" s="110"/>
      <c r="W500" s="110">
        <v>378</v>
      </c>
      <c r="X500" s="110">
        <v>284</v>
      </c>
      <c r="Y500" s="110"/>
      <c r="Z500" s="110"/>
      <c r="AA500" s="110">
        <f>SUM(AB500:AD500)</f>
        <v>36</v>
      </c>
      <c r="AB500" s="110">
        <v>36</v>
      </c>
      <c r="AC500" s="110"/>
      <c r="AD500" s="110"/>
      <c r="AE500" s="110">
        <f t="shared" ref="AE500:AE517" si="65">T500-J500</f>
        <v>593</v>
      </c>
      <c r="AF500" s="224" t="s">
        <v>196</v>
      </c>
      <c r="AG500" s="198">
        <v>2.5</v>
      </c>
      <c r="AH500" s="199">
        <v>193</v>
      </c>
      <c r="AI500" s="199">
        <v>204</v>
      </c>
      <c r="AJ500" s="196" t="s">
        <v>92</v>
      </c>
      <c r="AK500" s="196">
        <v>2023</v>
      </c>
      <c r="AL500" s="196">
        <v>2032</v>
      </c>
      <c r="AM500" s="200" t="s">
        <v>1218</v>
      </c>
      <c r="AN500" s="200"/>
      <c r="AO500" s="107"/>
      <c r="AP500" s="107">
        <v>45656</v>
      </c>
      <c r="AQ500" s="107"/>
      <c r="AR500" s="107">
        <v>45831</v>
      </c>
      <c r="AS500" s="107"/>
      <c r="AT500" s="107"/>
      <c r="AU500" s="107"/>
      <c r="AV500" s="203"/>
      <c r="AW500" s="204"/>
      <c r="AX500" s="107"/>
      <c r="AY500" s="107">
        <v>46042</v>
      </c>
      <c r="AZ500" s="107"/>
      <c r="BA500" s="107"/>
      <c r="BB500" s="107"/>
      <c r="BC500" s="107"/>
      <c r="BD500" s="107"/>
      <c r="BE500" s="107"/>
      <c r="BF500" s="107"/>
      <c r="BG500" s="321"/>
      <c r="BH500" s="285" t="s">
        <v>1608</v>
      </c>
    </row>
    <row r="501" spans="1:60" s="61" customFormat="1" ht="20.100000000000001" customHeight="1">
      <c r="A501" s="195">
        <v>496</v>
      </c>
      <c r="B501" s="196" t="s">
        <v>1214</v>
      </c>
      <c r="C501" s="65" t="s">
        <v>64</v>
      </c>
      <c r="D501" s="65" t="s">
        <v>85</v>
      </c>
      <c r="E501" s="65" t="s">
        <v>1231</v>
      </c>
      <c r="F501" s="65" t="s">
        <v>1232</v>
      </c>
      <c r="G501" s="110">
        <v>100198.3</v>
      </c>
      <c r="H501" s="196" t="s">
        <v>1217</v>
      </c>
      <c r="I501" s="110">
        <v>364</v>
      </c>
      <c r="J501" s="110">
        <f>SUM(K501:O501)</f>
        <v>789</v>
      </c>
      <c r="K501" s="110">
        <v>13</v>
      </c>
      <c r="L501" s="110">
        <v>60</v>
      </c>
      <c r="M501" s="110">
        <v>180</v>
      </c>
      <c r="N501" s="110">
        <v>206</v>
      </c>
      <c r="O501" s="110">
        <v>330</v>
      </c>
      <c r="P501" s="197">
        <v>1600</v>
      </c>
      <c r="Q501" s="197">
        <v>752</v>
      </c>
      <c r="R501" s="197">
        <v>768</v>
      </c>
      <c r="S501" s="197">
        <v>80</v>
      </c>
      <c r="T501" s="197">
        <f t="shared" si="62"/>
        <v>1600</v>
      </c>
      <c r="U501" s="110">
        <f>V501+W501+X501+Y501</f>
        <v>1520</v>
      </c>
      <c r="V501" s="110"/>
      <c r="W501" s="110">
        <v>635</v>
      </c>
      <c r="X501" s="110">
        <v>263</v>
      </c>
      <c r="Y501" s="110">
        <v>622</v>
      </c>
      <c r="Z501" s="110"/>
      <c r="AA501" s="110">
        <f>SUM(AB501:AD501)</f>
        <v>80</v>
      </c>
      <c r="AB501" s="110">
        <v>80</v>
      </c>
      <c r="AC501" s="110"/>
      <c r="AD501" s="110"/>
      <c r="AE501" s="110">
        <f t="shared" si="65"/>
        <v>811</v>
      </c>
      <c r="AF501" s="224" t="s">
        <v>196</v>
      </c>
      <c r="AG501" s="198">
        <v>2.5</v>
      </c>
      <c r="AH501" s="199">
        <v>836</v>
      </c>
      <c r="AI501" s="199">
        <v>870</v>
      </c>
      <c r="AJ501" s="196" t="s">
        <v>92</v>
      </c>
      <c r="AK501" s="196">
        <v>2023</v>
      </c>
      <c r="AL501" s="196">
        <v>2032</v>
      </c>
      <c r="AM501" s="200" t="s">
        <v>1218</v>
      </c>
      <c r="AN501" s="200"/>
      <c r="AO501" s="107"/>
      <c r="AP501" s="107">
        <v>45664</v>
      </c>
      <c r="AQ501" s="107"/>
      <c r="AR501" s="107">
        <v>45800</v>
      </c>
      <c r="AS501" s="107"/>
      <c r="AT501" s="107"/>
      <c r="AU501" s="107"/>
      <c r="AV501" s="203"/>
      <c r="AW501" s="204"/>
      <c r="AX501" s="107"/>
      <c r="AY501" s="107">
        <v>46021</v>
      </c>
      <c r="AZ501" s="107"/>
      <c r="BA501" s="107"/>
      <c r="BB501" s="107"/>
      <c r="BC501" s="107"/>
      <c r="BD501" s="107"/>
      <c r="BE501" s="107"/>
      <c r="BF501" s="107"/>
      <c r="BG501" s="321"/>
      <c r="BH501" s="285" t="s">
        <v>1609</v>
      </c>
    </row>
    <row r="502" spans="1:60" s="61" customFormat="1" ht="20.100000000000001" customHeight="1">
      <c r="A502" s="195">
        <v>497</v>
      </c>
      <c r="B502" s="196" t="s">
        <v>1214</v>
      </c>
      <c r="C502" s="65" t="s">
        <v>64</v>
      </c>
      <c r="D502" s="65" t="s">
        <v>85</v>
      </c>
      <c r="E502" s="65" t="s">
        <v>1233</v>
      </c>
      <c r="F502" s="65" t="s">
        <v>1234</v>
      </c>
      <c r="G502" s="110">
        <v>79340.3</v>
      </c>
      <c r="H502" s="196" t="s">
        <v>1217</v>
      </c>
      <c r="I502" s="110">
        <v>345</v>
      </c>
      <c r="J502" s="110">
        <f>SUM(K502:O502)</f>
        <v>634</v>
      </c>
      <c r="K502" s="110">
        <v>10</v>
      </c>
      <c r="L502" s="110">
        <v>39</v>
      </c>
      <c r="M502" s="110">
        <v>257</v>
      </c>
      <c r="N502" s="110">
        <v>187</v>
      </c>
      <c r="O502" s="110">
        <v>141</v>
      </c>
      <c r="P502" s="197">
        <v>1368</v>
      </c>
      <c r="Q502" s="197">
        <v>547</v>
      </c>
      <c r="R502" s="197"/>
      <c r="S502" s="197">
        <v>69</v>
      </c>
      <c r="T502" s="197">
        <f t="shared" ref="T502:T517" si="66">U502+AA502</f>
        <v>1368</v>
      </c>
      <c r="U502" s="110">
        <f>SUM(V502:Z502)</f>
        <v>1299</v>
      </c>
      <c r="V502" s="110"/>
      <c r="W502" s="110">
        <v>582</v>
      </c>
      <c r="X502" s="110">
        <f>263+454</f>
        <v>717</v>
      </c>
      <c r="Y502" s="110"/>
      <c r="Z502" s="110"/>
      <c r="AA502" s="110">
        <f>SUM(AB502:AD502)</f>
        <v>69</v>
      </c>
      <c r="AB502" s="110">
        <v>69</v>
      </c>
      <c r="AC502" s="110"/>
      <c r="AD502" s="110"/>
      <c r="AE502" s="110">
        <f t="shared" si="65"/>
        <v>734</v>
      </c>
      <c r="AF502" s="224" t="s">
        <v>196</v>
      </c>
      <c r="AG502" s="198">
        <v>2.5</v>
      </c>
      <c r="AH502" s="199">
        <v>547</v>
      </c>
      <c r="AI502" s="199">
        <v>572</v>
      </c>
      <c r="AJ502" s="196" t="s">
        <v>92</v>
      </c>
      <c r="AK502" s="196">
        <v>2023</v>
      </c>
      <c r="AL502" s="196">
        <v>2032</v>
      </c>
      <c r="AM502" s="200" t="s">
        <v>1218</v>
      </c>
      <c r="AN502" s="200"/>
      <c r="AO502" s="107"/>
      <c r="AP502" s="107">
        <v>45672</v>
      </c>
      <c r="AQ502" s="107"/>
      <c r="AR502" s="107">
        <v>45804</v>
      </c>
      <c r="AS502" s="107"/>
      <c r="AT502" s="107"/>
      <c r="AU502" s="107"/>
      <c r="AV502" s="203"/>
      <c r="AW502" s="204"/>
      <c r="AX502" s="107"/>
      <c r="AY502" s="107">
        <v>46022</v>
      </c>
      <c r="AZ502" s="107"/>
      <c r="BA502" s="107"/>
      <c r="BB502" s="107"/>
      <c r="BC502" s="107"/>
      <c r="BD502" s="107"/>
      <c r="BE502" s="107"/>
      <c r="BF502" s="107"/>
      <c r="BG502" s="321"/>
      <c r="BH502" s="285" t="s">
        <v>1608</v>
      </c>
    </row>
    <row r="503" spans="1:60" s="61" customFormat="1" ht="20.100000000000001" customHeight="1">
      <c r="A503" s="195">
        <v>498</v>
      </c>
      <c r="B503" s="196" t="s">
        <v>1214</v>
      </c>
      <c r="C503" s="65" t="s">
        <v>64</v>
      </c>
      <c r="D503" s="65" t="s">
        <v>85</v>
      </c>
      <c r="E503" s="65" t="s">
        <v>1235</v>
      </c>
      <c r="F503" s="65" t="s">
        <v>1236</v>
      </c>
      <c r="G503" s="110">
        <v>96123.199999999997</v>
      </c>
      <c r="H503" s="196" t="s">
        <v>1217</v>
      </c>
      <c r="I503" s="110">
        <v>461</v>
      </c>
      <c r="J503" s="110">
        <f>SUM(K503:O503)</f>
        <v>952</v>
      </c>
      <c r="K503" s="110">
        <v>21</v>
      </c>
      <c r="L503" s="110">
        <v>77</v>
      </c>
      <c r="M503" s="110">
        <v>336</v>
      </c>
      <c r="N503" s="110">
        <v>270</v>
      </c>
      <c r="O503" s="110">
        <v>248</v>
      </c>
      <c r="P503" s="197">
        <v>1850</v>
      </c>
      <c r="Q503" s="197">
        <v>777</v>
      </c>
      <c r="R503" s="197"/>
      <c r="S503" s="197">
        <v>93</v>
      </c>
      <c r="T503" s="197">
        <f t="shared" si="66"/>
        <v>1850</v>
      </c>
      <c r="U503" s="110">
        <f>SUM(V503:Z503)</f>
        <v>1757</v>
      </c>
      <c r="V503" s="110"/>
      <c r="W503" s="110">
        <v>785</v>
      </c>
      <c r="X503" s="110">
        <v>887</v>
      </c>
      <c r="Y503" s="110">
        <v>85</v>
      </c>
      <c r="Z503" s="110"/>
      <c r="AA503" s="110">
        <f>SUM(AB503:AD503)</f>
        <v>93</v>
      </c>
      <c r="AB503" s="110">
        <v>93</v>
      </c>
      <c r="AC503" s="110"/>
      <c r="AD503" s="110"/>
      <c r="AE503" s="110">
        <f t="shared" si="65"/>
        <v>898</v>
      </c>
      <c r="AF503" s="224" t="s">
        <v>196</v>
      </c>
      <c r="AG503" s="198">
        <v>2.5</v>
      </c>
      <c r="AH503" s="199">
        <v>444</v>
      </c>
      <c r="AI503" s="199">
        <v>816</v>
      </c>
      <c r="AJ503" s="196" t="s">
        <v>92</v>
      </c>
      <c r="AK503" s="196">
        <v>2023</v>
      </c>
      <c r="AL503" s="196">
        <v>2032</v>
      </c>
      <c r="AM503" s="200" t="s">
        <v>1218</v>
      </c>
      <c r="AN503" s="200"/>
      <c r="AO503" s="107"/>
      <c r="AP503" s="107">
        <v>45705</v>
      </c>
      <c r="AQ503" s="107"/>
      <c r="AR503" s="107">
        <v>45820</v>
      </c>
      <c r="AS503" s="107"/>
      <c r="AT503" s="107"/>
      <c r="AU503" s="107"/>
      <c r="AV503" s="203"/>
      <c r="AW503" s="204"/>
      <c r="AX503" s="107"/>
      <c r="AY503" s="107">
        <v>46022</v>
      </c>
      <c r="AZ503" s="107"/>
      <c r="BA503" s="107"/>
      <c r="BB503" s="107"/>
      <c r="BC503" s="107"/>
      <c r="BD503" s="107"/>
      <c r="BE503" s="107"/>
      <c r="BF503" s="107"/>
      <c r="BG503" s="321"/>
      <c r="BH503" s="285" t="s">
        <v>1606</v>
      </c>
    </row>
    <row r="504" spans="1:60" s="56" customFormat="1" ht="20.100000000000001" customHeight="1">
      <c r="A504" s="195">
        <v>499</v>
      </c>
      <c r="B504" s="196" t="s">
        <v>1214</v>
      </c>
      <c r="C504" s="65" t="s">
        <v>64</v>
      </c>
      <c r="D504" s="65" t="s">
        <v>85</v>
      </c>
      <c r="E504" s="264" t="s">
        <v>1237</v>
      </c>
      <c r="F504" s="65" t="s">
        <v>1238</v>
      </c>
      <c r="G504" s="110">
        <v>28016</v>
      </c>
      <c r="H504" s="196" t="s">
        <v>1217</v>
      </c>
      <c r="I504" s="110">
        <v>74</v>
      </c>
      <c r="J504" s="110">
        <v>442</v>
      </c>
      <c r="K504" s="110"/>
      <c r="L504" s="110"/>
      <c r="M504" s="110"/>
      <c r="N504" s="110"/>
      <c r="O504" s="110"/>
      <c r="P504" s="197">
        <v>611</v>
      </c>
      <c r="Q504" s="197">
        <v>579</v>
      </c>
      <c r="R504" s="197"/>
      <c r="S504" s="197">
        <v>32</v>
      </c>
      <c r="T504" s="197">
        <f t="shared" si="66"/>
        <v>611</v>
      </c>
      <c r="U504" s="110">
        <v>579</v>
      </c>
      <c r="V504" s="110"/>
      <c r="W504" s="110"/>
      <c r="X504" s="110"/>
      <c r="Y504" s="110"/>
      <c r="Z504" s="110"/>
      <c r="AA504" s="110">
        <v>32</v>
      </c>
      <c r="AB504" s="110"/>
      <c r="AC504" s="110"/>
      <c r="AD504" s="110"/>
      <c r="AE504" s="110">
        <f t="shared" si="65"/>
        <v>169</v>
      </c>
      <c r="AF504" s="224" t="s">
        <v>196</v>
      </c>
      <c r="AG504" s="198">
        <v>2.5</v>
      </c>
      <c r="AH504" s="199">
        <v>447</v>
      </c>
      <c r="AI504" s="199" t="s">
        <v>70</v>
      </c>
      <c r="AJ504" s="196" t="s">
        <v>92</v>
      </c>
      <c r="AK504" s="196">
        <v>2023</v>
      </c>
      <c r="AL504" s="196">
        <v>2032</v>
      </c>
      <c r="AM504" s="200" t="s">
        <v>1218</v>
      </c>
      <c r="AN504" s="200"/>
      <c r="AO504" s="107"/>
      <c r="AP504" s="107">
        <v>45398</v>
      </c>
      <c r="AQ504" s="107"/>
      <c r="AR504" s="107">
        <v>45471</v>
      </c>
      <c r="AS504" s="107"/>
      <c r="AT504" s="107"/>
      <c r="AU504" s="107"/>
      <c r="AV504" s="203"/>
      <c r="AW504" s="204"/>
      <c r="AX504" s="107"/>
      <c r="AY504" s="107">
        <v>45596</v>
      </c>
      <c r="AZ504" s="107"/>
      <c r="BA504" s="107"/>
      <c r="BB504" s="107"/>
      <c r="BC504" s="107"/>
      <c r="BD504" s="107"/>
      <c r="BE504" s="107"/>
      <c r="BF504" s="107"/>
      <c r="BG504" s="321"/>
      <c r="BH504" s="285" t="s">
        <v>1608</v>
      </c>
    </row>
    <row r="505" spans="1:60" s="56" customFormat="1" ht="20.100000000000001" customHeight="1">
      <c r="A505" s="195">
        <v>500</v>
      </c>
      <c r="B505" s="196" t="s">
        <v>1214</v>
      </c>
      <c r="C505" s="65" t="s">
        <v>64</v>
      </c>
      <c r="D505" s="65" t="s">
        <v>85</v>
      </c>
      <c r="E505" s="65" t="s">
        <v>1239</v>
      </c>
      <c r="F505" s="65" t="s">
        <v>1240</v>
      </c>
      <c r="G505" s="110">
        <v>16735.2</v>
      </c>
      <c r="H505" s="196" t="s">
        <v>1217</v>
      </c>
      <c r="I505" s="110">
        <v>85</v>
      </c>
      <c r="J505" s="110">
        <f>SUM(K505:O505)</f>
        <v>255</v>
      </c>
      <c r="K505" s="110">
        <v>6</v>
      </c>
      <c r="L505" s="110">
        <v>192</v>
      </c>
      <c r="M505" s="110">
        <v>49</v>
      </c>
      <c r="N505" s="110">
        <v>7</v>
      </c>
      <c r="O505" s="110">
        <v>1</v>
      </c>
      <c r="P505" s="197">
        <f>SUM(Q505:S505)</f>
        <v>379</v>
      </c>
      <c r="Q505" s="197">
        <v>360</v>
      </c>
      <c r="R505" s="197"/>
      <c r="S505" s="197">
        <v>19</v>
      </c>
      <c r="T505" s="197">
        <f t="shared" si="66"/>
        <v>379</v>
      </c>
      <c r="U505" s="110">
        <f>SUM(V505:Z505)</f>
        <v>360</v>
      </c>
      <c r="V505" s="110"/>
      <c r="W505" s="110">
        <v>166</v>
      </c>
      <c r="X505" s="110">
        <v>194</v>
      </c>
      <c r="Y505" s="110"/>
      <c r="Z505" s="110"/>
      <c r="AA505" s="110">
        <f>SUM(AB505:AD505)</f>
        <v>19</v>
      </c>
      <c r="AB505" s="110">
        <v>19</v>
      </c>
      <c r="AC505" s="110"/>
      <c r="AD505" s="110"/>
      <c r="AE505" s="110">
        <f t="shared" si="65"/>
        <v>124</v>
      </c>
      <c r="AF505" s="224" t="s">
        <v>196</v>
      </c>
      <c r="AG505" s="198">
        <v>2.5</v>
      </c>
      <c r="AH505" s="199">
        <v>225</v>
      </c>
      <c r="AI505" s="199" t="s">
        <v>70</v>
      </c>
      <c r="AJ505" s="196" t="s">
        <v>92</v>
      </c>
      <c r="AK505" s="196">
        <v>2023</v>
      </c>
      <c r="AL505" s="196">
        <v>2032</v>
      </c>
      <c r="AM505" s="200" t="s">
        <v>1218</v>
      </c>
      <c r="AN505" s="200"/>
      <c r="AO505" s="107"/>
      <c r="AP505" s="107">
        <v>45265</v>
      </c>
      <c r="AQ505" s="107"/>
      <c r="AR505" s="107">
        <v>45369</v>
      </c>
      <c r="AS505" s="107"/>
      <c r="AT505" s="107"/>
      <c r="AU505" s="107"/>
      <c r="AV505" s="203"/>
      <c r="AW505" s="204"/>
      <c r="AX505" s="107"/>
      <c r="AY505" s="107">
        <v>45490</v>
      </c>
      <c r="AZ505" s="107"/>
      <c r="BA505" s="107"/>
      <c r="BB505" s="107"/>
      <c r="BC505" s="107"/>
      <c r="BD505" s="107"/>
      <c r="BE505" s="107"/>
      <c r="BF505" s="107"/>
      <c r="BG505" s="321"/>
      <c r="BH505" s="285" t="s">
        <v>1610</v>
      </c>
    </row>
    <row r="506" spans="1:60" s="56" customFormat="1" ht="20.100000000000001" customHeight="1">
      <c r="A506" s="195">
        <v>501</v>
      </c>
      <c r="B506" s="196" t="s">
        <v>1214</v>
      </c>
      <c r="C506" s="65" t="s">
        <v>64</v>
      </c>
      <c r="D506" s="65" t="s">
        <v>85</v>
      </c>
      <c r="E506" s="65" t="s">
        <v>1241</v>
      </c>
      <c r="F506" s="65" t="s">
        <v>1242</v>
      </c>
      <c r="G506" s="110">
        <v>22952.2</v>
      </c>
      <c r="H506" s="196" t="s">
        <v>1217</v>
      </c>
      <c r="I506" s="110">
        <v>60</v>
      </c>
      <c r="J506" s="110">
        <v>353</v>
      </c>
      <c r="K506" s="110"/>
      <c r="L506" s="110"/>
      <c r="M506" s="110"/>
      <c r="N506" s="110"/>
      <c r="O506" s="110"/>
      <c r="P506" s="197">
        <f>SUM(Q506:S506)</f>
        <v>305</v>
      </c>
      <c r="Q506" s="197">
        <v>289</v>
      </c>
      <c r="R506" s="197"/>
      <c r="S506" s="197">
        <v>16</v>
      </c>
      <c r="T506" s="197">
        <f t="shared" si="66"/>
        <v>305</v>
      </c>
      <c r="U506" s="110">
        <f>SUM(V506:Z506)</f>
        <v>289</v>
      </c>
      <c r="V506" s="110"/>
      <c r="W506" s="110">
        <v>70</v>
      </c>
      <c r="X506" s="110">
        <v>52</v>
      </c>
      <c r="Y506" s="110">
        <v>167</v>
      </c>
      <c r="Z506" s="110"/>
      <c r="AA506" s="110">
        <f>SUM(AB506:AD506)</f>
        <v>16</v>
      </c>
      <c r="AB506" s="110">
        <v>16</v>
      </c>
      <c r="AC506" s="110"/>
      <c r="AD506" s="110"/>
      <c r="AE506" s="110">
        <f t="shared" si="65"/>
        <v>-48</v>
      </c>
      <c r="AF506" s="224" t="s">
        <v>196</v>
      </c>
      <c r="AG506" s="198">
        <v>2.4979</v>
      </c>
      <c r="AH506" s="199">
        <v>285</v>
      </c>
      <c r="AI506" s="199" t="s">
        <v>70</v>
      </c>
      <c r="AJ506" s="196" t="s">
        <v>92</v>
      </c>
      <c r="AK506" s="196">
        <v>2023</v>
      </c>
      <c r="AL506" s="196">
        <v>2032</v>
      </c>
      <c r="AM506" s="200" t="s">
        <v>1218</v>
      </c>
      <c r="AN506" s="200"/>
      <c r="AO506" s="107"/>
      <c r="AP506" s="107">
        <v>45194</v>
      </c>
      <c r="AQ506" s="107"/>
      <c r="AR506" s="107">
        <v>45260</v>
      </c>
      <c r="AS506" s="107"/>
      <c r="AT506" s="107"/>
      <c r="AU506" s="107"/>
      <c r="AV506" s="203"/>
      <c r="AW506" s="204"/>
      <c r="AX506" s="107"/>
      <c r="AY506" s="107">
        <v>45534</v>
      </c>
      <c r="AZ506" s="107"/>
      <c r="BA506" s="107"/>
      <c r="BB506" s="107"/>
      <c r="BC506" s="107"/>
      <c r="BD506" s="107"/>
      <c r="BE506" s="107"/>
      <c r="BF506" s="107"/>
      <c r="BG506" s="321"/>
      <c r="BH506" s="285" t="s">
        <v>1609</v>
      </c>
    </row>
    <row r="507" spans="1:60" s="56" customFormat="1" ht="20.100000000000001" customHeight="1">
      <c r="A507" s="195">
        <v>502</v>
      </c>
      <c r="B507" s="196" t="s">
        <v>1214</v>
      </c>
      <c r="C507" s="65" t="s">
        <v>66</v>
      </c>
      <c r="D507" s="65" t="s">
        <v>85</v>
      </c>
      <c r="E507" s="65" t="s">
        <v>1243</v>
      </c>
      <c r="F507" s="65" t="s">
        <v>1244</v>
      </c>
      <c r="G507" s="110">
        <v>48091</v>
      </c>
      <c r="H507" s="196" t="s">
        <v>1245</v>
      </c>
      <c r="I507" s="110">
        <v>200</v>
      </c>
      <c r="J507" s="110">
        <v>415</v>
      </c>
      <c r="K507" s="110">
        <v>38</v>
      </c>
      <c r="L507" s="110">
        <v>165</v>
      </c>
      <c r="M507" s="110">
        <v>102</v>
      </c>
      <c r="N507" s="110">
        <v>11</v>
      </c>
      <c r="O507" s="110">
        <v>99</v>
      </c>
      <c r="P507" s="239">
        <v>954</v>
      </c>
      <c r="Q507" s="239">
        <v>905</v>
      </c>
      <c r="R507" s="239"/>
      <c r="S507" s="239">
        <v>49</v>
      </c>
      <c r="T507" s="197">
        <f t="shared" si="66"/>
        <v>954</v>
      </c>
      <c r="U507" s="110">
        <v>905</v>
      </c>
      <c r="V507" s="110"/>
      <c r="W507" s="110">
        <v>340</v>
      </c>
      <c r="X507" s="110">
        <v>502</v>
      </c>
      <c r="Y507" s="110">
        <v>61</v>
      </c>
      <c r="Z507" s="110">
        <v>2</v>
      </c>
      <c r="AA507" s="110">
        <v>49</v>
      </c>
      <c r="AB507" s="110">
        <v>49</v>
      </c>
      <c r="AC507" s="110"/>
      <c r="AD507" s="110"/>
      <c r="AE507" s="110">
        <f t="shared" si="65"/>
        <v>539</v>
      </c>
      <c r="AF507" s="198" t="s">
        <v>196</v>
      </c>
      <c r="AG507" s="240">
        <v>2.4634999999999998</v>
      </c>
      <c r="AH507" s="199">
        <v>500</v>
      </c>
      <c r="AI507" s="199">
        <v>425</v>
      </c>
      <c r="AJ507" s="196" t="s">
        <v>92</v>
      </c>
      <c r="AK507" s="196">
        <v>2018</v>
      </c>
      <c r="AL507" s="196">
        <v>2031</v>
      </c>
      <c r="AM507" s="200" t="s">
        <v>1218</v>
      </c>
      <c r="AN507" s="200"/>
      <c r="AO507" s="200">
        <v>42978</v>
      </c>
      <c r="AP507" s="107">
        <v>43392</v>
      </c>
      <c r="AQ507" s="107">
        <v>44090</v>
      </c>
      <c r="AR507" s="107">
        <v>43595</v>
      </c>
      <c r="AS507" s="107"/>
      <c r="AT507" s="107"/>
      <c r="AU507" s="107"/>
      <c r="AV507" s="203" t="s">
        <v>70</v>
      </c>
      <c r="AW507" s="204" t="s">
        <v>70</v>
      </c>
      <c r="AX507" s="107"/>
      <c r="AY507" s="107">
        <v>44120</v>
      </c>
      <c r="AZ507" s="108">
        <v>45282</v>
      </c>
      <c r="BA507" s="108">
        <v>46112</v>
      </c>
      <c r="BB507" s="107"/>
      <c r="BC507" s="107"/>
      <c r="BD507" s="107"/>
      <c r="BE507" s="107"/>
      <c r="BF507" s="107"/>
      <c r="BG507" s="321"/>
      <c r="BH507" s="285" t="s">
        <v>1611</v>
      </c>
    </row>
    <row r="508" spans="1:60" s="56" customFormat="1" ht="20.100000000000001" customHeight="1">
      <c r="A508" s="195">
        <v>503</v>
      </c>
      <c r="B508" s="196" t="s">
        <v>1214</v>
      </c>
      <c r="C508" s="65" t="s">
        <v>67</v>
      </c>
      <c r="D508" s="65" t="s">
        <v>85</v>
      </c>
      <c r="E508" s="65" t="s">
        <v>1246</v>
      </c>
      <c r="F508" s="65" t="s">
        <v>1247</v>
      </c>
      <c r="G508" s="110">
        <v>33880.800000000003</v>
      </c>
      <c r="H508" s="196" t="s">
        <v>1248</v>
      </c>
      <c r="I508" s="110">
        <v>127</v>
      </c>
      <c r="J508" s="110">
        <f t="shared" ref="J508:J517" si="67">SUM(K508:O508)</f>
        <v>460</v>
      </c>
      <c r="K508" s="110">
        <v>386</v>
      </c>
      <c r="L508" s="110">
        <v>14</v>
      </c>
      <c r="M508" s="110">
        <v>9</v>
      </c>
      <c r="N508" s="110">
        <v>51</v>
      </c>
      <c r="O508" s="110"/>
      <c r="P508" s="197">
        <v>815</v>
      </c>
      <c r="Q508" s="197">
        <v>296</v>
      </c>
      <c r="R508" s="197">
        <v>407</v>
      </c>
      <c r="S508" s="197">
        <v>112</v>
      </c>
      <c r="T508" s="197">
        <f t="shared" si="66"/>
        <v>815</v>
      </c>
      <c r="U508" s="110">
        <f>W508+X508+Y508+Z508</f>
        <v>703</v>
      </c>
      <c r="V508" s="110"/>
      <c r="W508" s="110">
        <v>319</v>
      </c>
      <c r="X508" s="110">
        <v>382</v>
      </c>
      <c r="Y508" s="110"/>
      <c r="Z508" s="110">
        <v>2</v>
      </c>
      <c r="AA508" s="110">
        <f>AB508+AC508</f>
        <v>112</v>
      </c>
      <c r="AB508" s="110">
        <v>45</v>
      </c>
      <c r="AC508" s="110">
        <v>67</v>
      </c>
      <c r="AD508" s="110"/>
      <c r="AE508" s="110">
        <f t="shared" si="65"/>
        <v>355</v>
      </c>
      <c r="AF508" s="198" t="s">
        <v>196</v>
      </c>
      <c r="AG508" s="198">
        <v>3</v>
      </c>
      <c r="AH508" s="199">
        <v>242</v>
      </c>
      <c r="AI508" s="199">
        <v>225</v>
      </c>
      <c r="AJ508" s="196" t="s">
        <v>92</v>
      </c>
      <c r="AK508" s="196">
        <v>2015</v>
      </c>
      <c r="AL508" s="196">
        <v>2022</v>
      </c>
      <c r="AM508" s="200" t="s">
        <v>1218</v>
      </c>
      <c r="AN508" s="200">
        <v>39813</v>
      </c>
      <c r="AO508" s="200">
        <v>39993</v>
      </c>
      <c r="AP508" s="107">
        <v>40280</v>
      </c>
      <c r="AQ508" s="107">
        <v>42713</v>
      </c>
      <c r="AR508" s="107">
        <v>39616</v>
      </c>
      <c r="AS508" s="107"/>
      <c r="AT508" s="107"/>
      <c r="AU508" s="107"/>
      <c r="AV508" s="203" t="s">
        <v>70</v>
      </c>
      <c r="AW508" s="204" t="s">
        <v>70</v>
      </c>
      <c r="AX508" s="107"/>
      <c r="AY508" s="107">
        <v>40843</v>
      </c>
      <c r="AZ508" s="108">
        <v>43461</v>
      </c>
      <c r="BA508" s="108">
        <v>44343</v>
      </c>
      <c r="BB508" s="107">
        <v>45223</v>
      </c>
      <c r="BC508" s="107"/>
      <c r="BD508" s="107"/>
      <c r="BE508" s="107"/>
      <c r="BF508" s="107"/>
      <c r="BG508" s="321"/>
      <c r="BH508" s="285" t="s">
        <v>1606</v>
      </c>
    </row>
    <row r="509" spans="1:60" s="56" customFormat="1" ht="20.100000000000001" customHeight="1">
      <c r="A509" s="195">
        <v>504</v>
      </c>
      <c r="B509" s="196" t="s">
        <v>1214</v>
      </c>
      <c r="C509" s="65" t="s">
        <v>67</v>
      </c>
      <c r="D509" s="65" t="s">
        <v>85</v>
      </c>
      <c r="E509" s="65" t="s">
        <v>1249</v>
      </c>
      <c r="F509" s="65" t="s">
        <v>1250</v>
      </c>
      <c r="G509" s="110">
        <v>32509</v>
      </c>
      <c r="H509" s="196" t="s">
        <v>1251</v>
      </c>
      <c r="I509" s="110">
        <v>82</v>
      </c>
      <c r="J509" s="110">
        <f t="shared" si="67"/>
        <v>432</v>
      </c>
      <c r="K509" s="110">
        <v>362</v>
      </c>
      <c r="L509" s="110">
        <v>13</v>
      </c>
      <c r="M509" s="110">
        <v>9</v>
      </c>
      <c r="N509" s="110">
        <v>48</v>
      </c>
      <c r="O509" s="110"/>
      <c r="P509" s="197">
        <f>SUM(Q509:S509)</f>
        <v>832</v>
      </c>
      <c r="Q509" s="197">
        <v>376</v>
      </c>
      <c r="R509" s="197">
        <v>414</v>
      </c>
      <c r="S509" s="197">
        <v>42</v>
      </c>
      <c r="T509" s="197">
        <f t="shared" si="66"/>
        <v>832</v>
      </c>
      <c r="U509" s="110">
        <f>SUM(V509:Z509)</f>
        <v>790</v>
      </c>
      <c r="V509" s="110">
        <v>85</v>
      </c>
      <c r="W509" s="110">
        <v>468</v>
      </c>
      <c r="X509" s="110">
        <v>237</v>
      </c>
      <c r="Y509" s="110"/>
      <c r="Z509" s="110"/>
      <c r="AA509" s="110">
        <f>SUM(AB509:AD509)</f>
        <v>42</v>
      </c>
      <c r="AB509" s="110">
        <v>42</v>
      </c>
      <c r="AC509" s="110"/>
      <c r="AD509" s="110"/>
      <c r="AE509" s="110">
        <f t="shared" si="65"/>
        <v>400</v>
      </c>
      <c r="AF509" s="198" t="s">
        <v>196</v>
      </c>
      <c r="AG509" s="198">
        <v>2.7473000000000001</v>
      </c>
      <c r="AH509" s="199">
        <v>413</v>
      </c>
      <c r="AI509" s="199">
        <v>377</v>
      </c>
      <c r="AJ509" s="196" t="s">
        <v>92</v>
      </c>
      <c r="AK509" s="196">
        <v>2012</v>
      </c>
      <c r="AL509" s="196">
        <v>2024</v>
      </c>
      <c r="AM509" s="200" t="s">
        <v>1218</v>
      </c>
      <c r="AN509" s="200"/>
      <c r="AO509" s="107"/>
      <c r="AP509" s="107">
        <v>40414</v>
      </c>
      <c r="AQ509" s="107">
        <v>43083</v>
      </c>
      <c r="AR509" s="107">
        <v>39603</v>
      </c>
      <c r="AS509" s="107"/>
      <c r="AT509" s="107"/>
      <c r="AU509" s="107"/>
      <c r="AV509" s="203" t="s">
        <v>70</v>
      </c>
      <c r="AW509" s="204" t="s">
        <v>70</v>
      </c>
      <c r="AX509" s="107"/>
      <c r="AY509" s="107">
        <v>40584</v>
      </c>
      <c r="AZ509" s="107">
        <v>41250</v>
      </c>
      <c r="BA509" s="107">
        <v>43574</v>
      </c>
      <c r="BB509" s="107">
        <v>44615</v>
      </c>
      <c r="BC509" s="107">
        <v>45229</v>
      </c>
      <c r="BD509" s="107"/>
      <c r="BE509" s="107"/>
      <c r="BF509" s="107"/>
      <c r="BG509" s="321"/>
      <c r="BH509" s="285" t="s">
        <v>1608</v>
      </c>
    </row>
    <row r="510" spans="1:60" s="56" customFormat="1" ht="20.100000000000001" customHeight="1">
      <c r="A510" s="195">
        <v>505</v>
      </c>
      <c r="B510" s="196" t="s">
        <v>1214</v>
      </c>
      <c r="C510" s="65" t="s">
        <v>67</v>
      </c>
      <c r="D510" s="65" t="s">
        <v>85</v>
      </c>
      <c r="E510" s="65" t="s">
        <v>1252</v>
      </c>
      <c r="F510" s="65" t="s">
        <v>1253</v>
      </c>
      <c r="G510" s="110">
        <v>37022</v>
      </c>
      <c r="H510" s="196" t="s">
        <v>119</v>
      </c>
      <c r="I510" s="110">
        <v>100</v>
      </c>
      <c r="J510" s="110">
        <f t="shared" si="67"/>
        <v>209</v>
      </c>
      <c r="K510" s="110">
        <v>176</v>
      </c>
      <c r="L510" s="110">
        <v>6</v>
      </c>
      <c r="M510" s="110">
        <v>4</v>
      </c>
      <c r="N510" s="110">
        <v>23</v>
      </c>
      <c r="O510" s="110"/>
      <c r="P510" s="197">
        <f>SUM(Q510:S510)</f>
        <v>769</v>
      </c>
      <c r="Q510" s="197">
        <v>136</v>
      </c>
      <c r="R510" s="197">
        <v>591</v>
      </c>
      <c r="S510" s="197">
        <v>42</v>
      </c>
      <c r="T510" s="197">
        <f t="shared" si="66"/>
        <v>769</v>
      </c>
      <c r="U510" s="110">
        <f>SUM(V510:Z510)</f>
        <v>727</v>
      </c>
      <c r="V510" s="110"/>
      <c r="W510" s="110">
        <v>484</v>
      </c>
      <c r="X510" s="110">
        <v>215</v>
      </c>
      <c r="Y510" s="110">
        <v>28</v>
      </c>
      <c r="Z510" s="110"/>
      <c r="AA510" s="110">
        <f>SUM(AB510:AD510)</f>
        <v>42</v>
      </c>
      <c r="AB510" s="110">
        <v>42</v>
      </c>
      <c r="AC510" s="110"/>
      <c r="AD510" s="110"/>
      <c r="AE510" s="110">
        <f t="shared" si="65"/>
        <v>560</v>
      </c>
      <c r="AF510" s="198" t="s">
        <v>196</v>
      </c>
      <c r="AG510" s="198">
        <v>2.5</v>
      </c>
      <c r="AH510" s="199">
        <v>176</v>
      </c>
      <c r="AI510" s="199">
        <v>135</v>
      </c>
      <c r="AJ510" s="196" t="s">
        <v>92</v>
      </c>
      <c r="AK510" s="196">
        <v>2014</v>
      </c>
      <c r="AL510" s="196">
        <v>2023</v>
      </c>
      <c r="AM510" s="200" t="s">
        <v>1218</v>
      </c>
      <c r="AN510" s="200"/>
      <c r="AO510" s="107"/>
      <c r="AP510" s="107">
        <v>40168</v>
      </c>
      <c r="AQ510" s="107">
        <v>43458</v>
      </c>
      <c r="AR510" s="107">
        <v>39587</v>
      </c>
      <c r="AS510" s="107"/>
      <c r="AT510" s="107"/>
      <c r="AU510" s="107"/>
      <c r="AV510" s="203" t="s">
        <v>70</v>
      </c>
      <c r="AW510" s="204" t="s">
        <v>70</v>
      </c>
      <c r="AX510" s="107"/>
      <c r="AY510" s="107">
        <v>40326</v>
      </c>
      <c r="AZ510" s="107">
        <v>41667</v>
      </c>
      <c r="BA510" s="107">
        <v>43903</v>
      </c>
      <c r="BB510" s="107">
        <v>44516</v>
      </c>
      <c r="BC510" s="107"/>
      <c r="BD510" s="107"/>
      <c r="BE510" s="107"/>
      <c r="BF510" s="107"/>
      <c r="BG510" s="321"/>
      <c r="BH510" s="285" t="s">
        <v>1609</v>
      </c>
    </row>
    <row r="511" spans="1:60" s="56" customFormat="1" ht="20.100000000000001" customHeight="1">
      <c r="A511" s="195">
        <v>506</v>
      </c>
      <c r="B511" s="196" t="s">
        <v>1214</v>
      </c>
      <c r="C511" s="65" t="s">
        <v>68</v>
      </c>
      <c r="D511" s="65" t="s">
        <v>85</v>
      </c>
      <c r="E511" s="65" t="s">
        <v>1254</v>
      </c>
      <c r="F511" s="65" t="s">
        <v>1255</v>
      </c>
      <c r="G511" s="110">
        <v>36192.5</v>
      </c>
      <c r="H511" s="196" t="s">
        <v>1256</v>
      </c>
      <c r="I511" s="110">
        <v>84</v>
      </c>
      <c r="J511" s="110">
        <f t="shared" si="67"/>
        <v>759</v>
      </c>
      <c r="K511" s="110">
        <v>637</v>
      </c>
      <c r="L511" s="110">
        <v>23</v>
      </c>
      <c r="M511" s="110">
        <v>15</v>
      </c>
      <c r="N511" s="110">
        <v>84</v>
      </c>
      <c r="O511" s="110"/>
      <c r="P511" s="197">
        <v>926</v>
      </c>
      <c r="Q511" s="197">
        <v>586</v>
      </c>
      <c r="R511" s="197">
        <v>222</v>
      </c>
      <c r="S511" s="197">
        <v>118</v>
      </c>
      <c r="T511" s="197">
        <f t="shared" si="66"/>
        <v>926</v>
      </c>
      <c r="U511" s="110">
        <f>SUM(V511:Z511)</f>
        <v>808</v>
      </c>
      <c r="V511" s="110"/>
      <c r="W511" s="110">
        <v>364</v>
      </c>
      <c r="X511" s="110">
        <v>444</v>
      </c>
      <c r="Y511" s="110"/>
      <c r="Z511" s="110"/>
      <c r="AA511" s="110">
        <f>SUM(AB511:AD511)</f>
        <v>118</v>
      </c>
      <c r="AB511" s="110">
        <v>44</v>
      </c>
      <c r="AC511" s="110">
        <v>74</v>
      </c>
      <c r="AD511" s="110"/>
      <c r="AE511" s="110">
        <f t="shared" si="65"/>
        <v>167</v>
      </c>
      <c r="AF511" s="198" t="s">
        <v>196</v>
      </c>
      <c r="AG511" s="198">
        <v>3</v>
      </c>
      <c r="AH511" s="199">
        <v>631</v>
      </c>
      <c r="AI511" s="199">
        <v>628</v>
      </c>
      <c r="AJ511" s="196" t="s">
        <v>92</v>
      </c>
      <c r="AK511" s="196">
        <v>2014</v>
      </c>
      <c r="AL511" s="196">
        <v>2025</v>
      </c>
      <c r="AM511" s="200" t="s">
        <v>1218</v>
      </c>
      <c r="AN511" s="200">
        <v>39813</v>
      </c>
      <c r="AO511" s="200">
        <v>40123</v>
      </c>
      <c r="AP511" s="107">
        <v>40513</v>
      </c>
      <c r="AQ511" s="107">
        <v>42258</v>
      </c>
      <c r="AR511" s="107">
        <v>39631</v>
      </c>
      <c r="AS511" s="107"/>
      <c r="AT511" s="107"/>
      <c r="AU511" s="107"/>
      <c r="AV511" s="203" t="s">
        <v>70</v>
      </c>
      <c r="AW511" s="204" t="s">
        <v>70</v>
      </c>
      <c r="AX511" s="107"/>
      <c r="AY511" s="107">
        <v>40744</v>
      </c>
      <c r="AZ511" s="107">
        <v>42507</v>
      </c>
      <c r="BA511" s="107">
        <v>43130</v>
      </c>
      <c r="BB511" s="107">
        <v>44103</v>
      </c>
      <c r="BC511" s="107">
        <v>44012</v>
      </c>
      <c r="BD511" s="107">
        <v>45169</v>
      </c>
      <c r="BE511" s="107">
        <v>45733</v>
      </c>
      <c r="BF511" s="107"/>
      <c r="BG511" s="321"/>
      <c r="BH511" s="285" t="s">
        <v>1609</v>
      </c>
    </row>
    <row r="512" spans="1:60" s="56" customFormat="1" ht="20.100000000000001" customHeight="1">
      <c r="A512" s="195">
        <v>507</v>
      </c>
      <c r="B512" s="196" t="s">
        <v>1214</v>
      </c>
      <c r="C512" s="65" t="s">
        <v>137</v>
      </c>
      <c r="D512" s="65" t="s">
        <v>85</v>
      </c>
      <c r="E512" s="65" t="s">
        <v>1257</v>
      </c>
      <c r="F512" s="65" t="s">
        <v>1258</v>
      </c>
      <c r="G512" s="110">
        <v>24847</v>
      </c>
      <c r="H512" s="196" t="s">
        <v>1259</v>
      </c>
      <c r="I512" s="110">
        <v>95</v>
      </c>
      <c r="J512" s="110">
        <f t="shared" si="67"/>
        <v>245</v>
      </c>
      <c r="K512" s="110">
        <v>206</v>
      </c>
      <c r="L512" s="110">
        <v>7</v>
      </c>
      <c r="M512" s="110">
        <v>5</v>
      </c>
      <c r="N512" s="110">
        <v>27</v>
      </c>
      <c r="O512" s="110"/>
      <c r="P512" s="197">
        <f>SUM(Q512:S512)</f>
        <v>466</v>
      </c>
      <c r="Q512" s="197">
        <v>109</v>
      </c>
      <c r="R512" s="197">
        <v>331</v>
      </c>
      <c r="S512" s="197">
        <v>26</v>
      </c>
      <c r="T512" s="197">
        <f t="shared" si="66"/>
        <v>466</v>
      </c>
      <c r="U512" s="110">
        <f>SUM(V512:Z512)</f>
        <v>440</v>
      </c>
      <c r="V512" s="110">
        <v>50</v>
      </c>
      <c r="W512" s="110">
        <v>235</v>
      </c>
      <c r="X512" s="110">
        <v>155</v>
      </c>
      <c r="Y512" s="110"/>
      <c r="Z512" s="110"/>
      <c r="AA512" s="110">
        <f>SUM(AB512:AD512)</f>
        <v>26</v>
      </c>
      <c r="AB512" s="110">
        <v>26</v>
      </c>
      <c r="AC512" s="110"/>
      <c r="AD512" s="110"/>
      <c r="AE512" s="110">
        <f t="shared" si="65"/>
        <v>221</v>
      </c>
      <c r="AF512" s="198" t="s">
        <v>196</v>
      </c>
      <c r="AG512" s="198">
        <v>2.2999999999999998</v>
      </c>
      <c r="AH512" s="199">
        <v>153</v>
      </c>
      <c r="AI512" s="199">
        <v>101</v>
      </c>
      <c r="AJ512" s="196" t="s">
        <v>92</v>
      </c>
      <c r="AK512" s="196">
        <v>2014</v>
      </c>
      <c r="AL512" s="196">
        <v>2023</v>
      </c>
      <c r="AM512" s="200" t="s">
        <v>1218</v>
      </c>
      <c r="AN512" s="200"/>
      <c r="AO512" s="107"/>
      <c r="AP512" s="107">
        <v>40414</v>
      </c>
      <c r="AQ512" s="107">
        <v>43347</v>
      </c>
      <c r="AR512" s="107">
        <v>39603</v>
      </c>
      <c r="AS512" s="107"/>
      <c r="AT512" s="107"/>
      <c r="AU512" s="107"/>
      <c r="AV512" s="203" t="s">
        <v>70</v>
      </c>
      <c r="AW512" s="204" t="s">
        <v>70</v>
      </c>
      <c r="AX512" s="107"/>
      <c r="AY512" s="107">
        <v>40781</v>
      </c>
      <c r="AZ512" s="107">
        <v>41732</v>
      </c>
      <c r="BA512" s="107">
        <v>42884</v>
      </c>
      <c r="BB512" s="107">
        <v>43921</v>
      </c>
      <c r="BC512" s="107">
        <v>43944</v>
      </c>
      <c r="BD512" s="107">
        <v>45471</v>
      </c>
      <c r="BE512" s="107">
        <v>45603</v>
      </c>
      <c r="BF512" s="107">
        <v>46086</v>
      </c>
      <c r="BG512" s="321"/>
      <c r="BH512" s="285" t="s">
        <v>1609</v>
      </c>
    </row>
    <row r="513" spans="1:60" s="61" customFormat="1" ht="20.100000000000001" customHeight="1">
      <c r="A513" s="195">
        <v>508</v>
      </c>
      <c r="B513" s="196" t="s">
        <v>1214</v>
      </c>
      <c r="C513" s="65" t="s">
        <v>68</v>
      </c>
      <c r="D513" s="65" t="s">
        <v>112</v>
      </c>
      <c r="E513" s="65" t="s">
        <v>1260</v>
      </c>
      <c r="F513" s="65" t="s">
        <v>1261</v>
      </c>
      <c r="G513" s="110">
        <v>38238</v>
      </c>
      <c r="H513" s="196" t="s">
        <v>1262</v>
      </c>
      <c r="I513" s="110">
        <v>102</v>
      </c>
      <c r="J513" s="110">
        <f t="shared" si="67"/>
        <v>108</v>
      </c>
      <c r="K513" s="110">
        <v>108</v>
      </c>
      <c r="L513" s="208" t="s">
        <v>115</v>
      </c>
      <c r="M513" s="110"/>
      <c r="N513" s="110"/>
      <c r="O513" s="110"/>
      <c r="P513" s="197"/>
      <c r="Q513" s="197"/>
      <c r="R513" s="197"/>
      <c r="S513" s="197"/>
      <c r="T513" s="197">
        <f t="shared" si="66"/>
        <v>0</v>
      </c>
      <c r="U513" s="110"/>
      <c r="V513" s="110" t="s">
        <v>116</v>
      </c>
      <c r="W513" s="110"/>
      <c r="X513" s="110"/>
      <c r="Y513" s="110"/>
      <c r="Z513" s="110"/>
      <c r="AA513" s="110"/>
      <c r="AB513" s="110"/>
      <c r="AC513" s="110"/>
      <c r="AD513" s="110"/>
      <c r="AE513" s="110">
        <f t="shared" si="65"/>
        <v>-108</v>
      </c>
      <c r="AF513" s="198">
        <v>0.8</v>
      </c>
      <c r="AG513" s="198"/>
      <c r="AH513" s="199">
        <v>87</v>
      </c>
      <c r="AI513" s="199"/>
      <c r="AJ513" s="196" t="s">
        <v>1263</v>
      </c>
      <c r="AK513" s="196">
        <v>2006</v>
      </c>
      <c r="AL513" s="196">
        <v>2012</v>
      </c>
      <c r="AM513" s="200" t="s">
        <v>1218</v>
      </c>
      <c r="AN513" s="200"/>
      <c r="AO513" s="107"/>
      <c r="AP513" s="107">
        <v>39882</v>
      </c>
      <c r="AQ513" s="107"/>
      <c r="AR513" s="107"/>
      <c r="AS513" s="107"/>
      <c r="AT513" s="107"/>
      <c r="AU513" s="107"/>
      <c r="AV513" s="203" t="s">
        <v>70</v>
      </c>
      <c r="AW513" s="204" t="s">
        <v>70</v>
      </c>
      <c r="AX513" s="107"/>
      <c r="AY513" s="107"/>
      <c r="AZ513" s="107">
        <v>41011</v>
      </c>
      <c r="BA513" s="107"/>
      <c r="BB513" s="107">
        <v>41023</v>
      </c>
      <c r="BC513" s="107"/>
      <c r="BD513" s="107">
        <v>41579</v>
      </c>
      <c r="BE513" s="107"/>
      <c r="BF513" s="107"/>
      <c r="BG513" s="321"/>
      <c r="BH513" s="285" t="s">
        <v>1609</v>
      </c>
    </row>
    <row r="514" spans="1:60" s="56" customFormat="1" ht="20.100000000000001" customHeight="1">
      <c r="A514" s="195">
        <v>509</v>
      </c>
      <c r="B514" s="196" t="s">
        <v>1214</v>
      </c>
      <c r="C514" s="65" t="s">
        <v>137</v>
      </c>
      <c r="D514" s="65" t="s">
        <v>85</v>
      </c>
      <c r="E514" s="65" t="s">
        <v>1264</v>
      </c>
      <c r="F514" s="65" t="s">
        <v>1265</v>
      </c>
      <c r="G514" s="110">
        <v>132479.79999999999</v>
      </c>
      <c r="H514" s="196" t="s">
        <v>1266</v>
      </c>
      <c r="I514" s="110">
        <v>583</v>
      </c>
      <c r="J514" s="110">
        <f t="shared" si="67"/>
        <v>1858</v>
      </c>
      <c r="K514" s="110">
        <v>1558</v>
      </c>
      <c r="L514" s="110">
        <v>56</v>
      </c>
      <c r="M514" s="110">
        <v>38</v>
      </c>
      <c r="N514" s="110">
        <v>206</v>
      </c>
      <c r="O514" s="110"/>
      <c r="P514" s="197">
        <f>SUM(Q514:S514)</f>
        <v>2473</v>
      </c>
      <c r="Q514" s="197">
        <v>930</v>
      </c>
      <c r="R514" s="197">
        <v>1393</v>
      </c>
      <c r="S514" s="197">
        <v>150</v>
      </c>
      <c r="T514" s="197">
        <f t="shared" si="66"/>
        <v>2473</v>
      </c>
      <c r="U514" s="110">
        <f>SUM(V514:Z514)</f>
        <v>2323</v>
      </c>
      <c r="V514" s="110"/>
      <c r="W514" s="110">
        <v>1444</v>
      </c>
      <c r="X514" s="110">
        <v>813</v>
      </c>
      <c r="Y514" s="110">
        <v>66</v>
      </c>
      <c r="Z514" s="110"/>
      <c r="AA514" s="110">
        <f>SUM(AB514:AD514)</f>
        <v>150</v>
      </c>
      <c r="AB514" s="110">
        <v>150</v>
      </c>
      <c r="AC514" s="110"/>
      <c r="AD514" s="110"/>
      <c r="AE514" s="110">
        <f t="shared" si="65"/>
        <v>615</v>
      </c>
      <c r="AF514" s="198" t="s">
        <v>196</v>
      </c>
      <c r="AG514" s="198">
        <v>2.57</v>
      </c>
      <c r="AH514" s="199">
        <v>962</v>
      </c>
      <c r="AI514" s="199">
        <v>827</v>
      </c>
      <c r="AJ514" s="196" t="s">
        <v>92</v>
      </c>
      <c r="AK514" s="196">
        <v>2014</v>
      </c>
      <c r="AL514" s="196">
        <v>2025</v>
      </c>
      <c r="AM514" s="200" t="s">
        <v>1218</v>
      </c>
      <c r="AN514" s="200"/>
      <c r="AO514" s="107"/>
      <c r="AP514" s="107">
        <v>40375</v>
      </c>
      <c r="AQ514" s="107">
        <v>43567</v>
      </c>
      <c r="AR514" s="107">
        <v>39583</v>
      </c>
      <c r="AS514" s="107"/>
      <c r="AT514" s="107"/>
      <c r="AU514" s="107"/>
      <c r="AV514" s="203" t="s">
        <v>70</v>
      </c>
      <c r="AW514" s="204" t="s">
        <v>70</v>
      </c>
      <c r="AX514" s="107"/>
      <c r="AY514" s="107">
        <v>40574</v>
      </c>
      <c r="AZ514" s="107">
        <v>42094</v>
      </c>
      <c r="BA514" s="107">
        <v>42678</v>
      </c>
      <c r="BB514" s="107">
        <v>43698</v>
      </c>
      <c r="BC514" s="107">
        <v>43699</v>
      </c>
      <c r="BD514" s="107">
        <v>44769</v>
      </c>
      <c r="BE514" s="107">
        <v>44998</v>
      </c>
      <c r="BF514" s="107">
        <v>45361</v>
      </c>
      <c r="BG514" s="321"/>
      <c r="BH514" s="285" t="s">
        <v>1609</v>
      </c>
    </row>
    <row r="515" spans="1:60" s="56" customFormat="1" ht="20.100000000000001" customHeight="1">
      <c r="A515" s="195">
        <v>510</v>
      </c>
      <c r="B515" s="196" t="s">
        <v>1214</v>
      </c>
      <c r="C515" s="65" t="s">
        <v>69</v>
      </c>
      <c r="D515" s="65" t="s">
        <v>85</v>
      </c>
      <c r="E515" s="65" t="s">
        <v>1267</v>
      </c>
      <c r="F515" s="65" t="s">
        <v>1268</v>
      </c>
      <c r="G515" s="110">
        <v>22840</v>
      </c>
      <c r="H515" s="196" t="s">
        <v>1269</v>
      </c>
      <c r="I515" s="110">
        <v>62</v>
      </c>
      <c r="J515" s="110">
        <f t="shared" si="67"/>
        <v>175</v>
      </c>
      <c r="K515" s="110">
        <v>147</v>
      </c>
      <c r="L515" s="110">
        <v>5</v>
      </c>
      <c r="M515" s="110">
        <v>4</v>
      </c>
      <c r="N515" s="110">
        <v>19</v>
      </c>
      <c r="O515" s="110"/>
      <c r="P515" s="197">
        <f>SUM(Q515:S515)</f>
        <v>420</v>
      </c>
      <c r="Q515" s="197">
        <v>75</v>
      </c>
      <c r="R515" s="197">
        <v>321</v>
      </c>
      <c r="S515" s="197">
        <v>24</v>
      </c>
      <c r="T515" s="197">
        <f t="shared" si="66"/>
        <v>420</v>
      </c>
      <c r="U515" s="110">
        <f>SUM(V515:Z515)</f>
        <v>396</v>
      </c>
      <c r="V515" s="110">
        <v>45</v>
      </c>
      <c r="W515" s="110">
        <v>83</v>
      </c>
      <c r="X515" s="110">
        <v>245</v>
      </c>
      <c r="Y515" s="110">
        <v>23</v>
      </c>
      <c r="Z515" s="110"/>
      <c r="AA515" s="110">
        <f>SUM(AB515:AD515)</f>
        <v>24</v>
      </c>
      <c r="AB515" s="110">
        <v>24</v>
      </c>
      <c r="AC515" s="110"/>
      <c r="AD515" s="110"/>
      <c r="AE515" s="110">
        <f t="shared" si="65"/>
        <v>245</v>
      </c>
      <c r="AF515" s="198" t="s">
        <v>196</v>
      </c>
      <c r="AG515" s="198">
        <v>2.2999999999999998</v>
      </c>
      <c r="AH515" s="199">
        <v>99</v>
      </c>
      <c r="AI515" s="199">
        <v>75</v>
      </c>
      <c r="AJ515" s="196" t="s">
        <v>92</v>
      </c>
      <c r="AK515" s="196">
        <v>2014</v>
      </c>
      <c r="AL515" s="196">
        <v>2023</v>
      </c>
      <c r="AM515" s="200" t="s">
        <v>1218</v>
      </c>
      <c r="AN515" s="200"/>
      <c r="AO515" s="107"/>
      <c r="AP515" s="107">
        <v>40375</v>
      </c>
      <c r="AQ515" s="107">
        <v>41253</v>
      </c>
      <c r="AR515" s="107">
        <v>39602</v>
      </c>
      <c r="AS515" s="107"/>
      <c r="AT515" s="107"/>
      <c r="AU515" s="107"/>
      <c r="AV515" s="203" t="s">
        <v>70</v>
      </c>
      <c r="AW515" s="204" t="s">
        <v>70</v>
      </c>
      <c r="AX515" s="107"/>
      <c r="AY515" s="107">
        <v>40499</v>
      </c>
      <c r="AZ515" s="107">
        <v>41663</v>
      </c>
      <c r="BA515" s="107">
        <v>42782</v>
      </c>
      <c r="BB515" s="107">
        <v>43441</v>
      </c>
      <c r="BC515" s="107">
        <v>43447</v>
      </c>
      <c r="BD515" s="107">
        <v>44428</v>
      </c>
      <c r="BE515" s="107">
        <v>44587</v>
      </c>
      <c r="BF515" s="107">
        <v>44902</v>
      </c>
      <c r="BG515" s="321">
        <v>45964</v>
      </c>
      <c r="BH515" s="285" t="s">
        <v>1465</v>
      </c>
    </row>
    <row r="516" spans="1:60" s="56" customFormat="1" ht="20.100000000000001" customHeight="1">
      <c r="A516" s="195">
        <v>511</v>
      </c>
      <c r="B516" s="196" t="s">
        <v>1214</v>
      </c>
      <c r="C516" s="65" t="s">
        <v>137</v>
      </c>
      <c r="D516" s="65" t="s">
        <v>85</v>
      </c>
      <c r="E516" s="65" t="s">
        <v>1270</v>
      </c>
      <c r="F516" s="65" t="s">
        <v>1271</v>
      </c>
      <c r="G516" s="110">
        <v>47200.2</v>
      </c>
      <c r="H516" s="196" t="s">
        <v>1262</v>
      </c>
      <c r="I516" s="110">
        <v>72</v>
      </c>
      <c r="J516" s="110">
        <f t="shared" si="67"/>
        <v>174</v>
      </c>
      <c r="K516" s="110">
        <v>146</v>
      </c>
      <c r="L516" s="110">
        <v>5</v>
      </c>
      <c r="M516" s="110">
        <v>4</v>
      </c>
      <c r="N516" s="110">
        <v>19</v>
      </c>
      <c r="O516" s="110"/>
      <c r="P516" s="197">
        <f>SUM(Q516:S516)</f>
        <v>677</v>
      </c>
      <c r="Q516" s="197">
        <v>121</v>
      </c>
      <c r="R516" s="197">
        <v>522</v>
      </c>
      <c r="S516" s="197">
        <v>34</v>
      </c>
      <c r="T516" s="197">
        <f t="shared" si="66"/>
        <v>677</v>
      </c>
      <c r="U516" s="110">
        <f>SUM(V516:Z516)</f>
        <v>643</v>
      </c>
      <c r="V516" s="110">
        <v>27</v>
      </c>
      <c r="W516" s="110">
        <v>116</v>
      </c>
      <c r="X516" s="110">
        <v>447</v>
      </c>
      <c r="Y516" s="110">
        <v>53</v>
      </c>
      <c r="Z516" s="110"/>
      <c r="AA516" s="110">
        <f>SUM(AB516:AD516)</f>
        <v>34</v>
      </c>
      <c r="AB516" s="110">
        <v>12</v>
      </c>
      <c r="AC516" s="110">
        <v>22</v>
      </c>
      <c r="AD516" s="110"/>
      <c r="AE516" s="110">
        <f t="shared" si="65"/>
        <v>503</v>
      </c>
      <c r="AF516" s="198" t="s">
        <v>196</v>
      </c>
      <c r="AG516" s="198">
        <v>2.5</v>
      </c>
      <c r="AH516" s="199">
        <v>168</v>
      </c>
      <c r="AI516" s="199">
        <v>123</v>
      </c>
      <c r="AJ516" s="196" t="s">
        <v>92</v>
      </c>
      <c r="AK516" s="196">
        <v>2013</v>
      </c>
      <c r="AL516" s="196">
        <v>2021</v>
      </c>
      <c r="AM516" s="200" t="s">
        <v>1218</v>
      </c>
      <c r="AN516" s="200"/>
      <c r="AO516" s="107"/>
      <c r="AP516" s="107">
        <v>40280</v>
      </c>
      <c r="AQ516" s="107">
        <v>42310</v>
      </c>
      <c r="AR516" s="107">
        <v>39602</v>
      </c>
      <c r="AS516" s="107"/>
      <c r="AT516" s="107"/>
      <c r="AU516" s="107"/>
      <c r="AV516" s="203" t="s">
        <v>70</v>
      </c>
      <c r="AW516" s="204" t="s">
        <v>70</v>
      </c>
      <c r="AX516" s="107"/>
      <c r="AY516" s="107">
        <v>40424</v>
      </c>
      <c r="AZ516" s="107">
        <v>41528</v>
      </c>
      <c r="BA516" s="107">
        <v>42429</v>
      </c>
      <c r="BB516" s="107">
        <v>42906</v>
      </c>
      <c r="BC516" s="107">
        <v>42929</v>
      </c>
      <c r="BD516" s="107">
        <v>44384</v>
      </c>
      <c r="BE516" s="107">
        <v>44511</v>
      </c>
      <c r="BF516" s="107">
        <v>44761</v>
      </c>
      <c r="BG516" s="321"/>
      <c r="BH516" s="285" t="s">
        <v>1605</v>
      </c>
    </row>
    <row r="517" spans="1:60" s="61" customFormat="1" ht="20.100000000000001" customHeight="1">
      <c r="A517" s="195">
        <v>512</v>
      </c>
      <c r="B517" s="241" t="s">
        <v>1214</v>
      </c>
      <c r="C517" s="65" t="s">
        <v>69</v>
      </c>
      <c r="D517" s="242" t="s">
        <v>73</v>
      </c>
      <c r="E517" s="242" t="s">
        <v>1272</v>
      </c>
      <c r="F517" s="242" t="s">
        <v>1273</v>
      </c>
      <c r="G517" s="243">
        <v>96152.2</v>
      </c>
      <c r="H517" s="241">
        <v>1989</v>
      </c>
      <c r="I517" s="243">
        <v>41</v>
      </c>
      <c r="J517" s="243">
        <f t="shared" si="67"/>
        <v>1580</v>
      </c>
      <c r="K517" s="243">
        <v>720</v>
      </c>
      <c r="L517" s="243">
        <v>860</v>
      </c>
      <c r="M517" s="243"/>
      <c r="N517" s="243"/>
      <c r="O517" s="243"/>
      <c r="P517" s="244">
        <f>SUM(Q517:S517)</f>
        <v>2571</v>
      </c>
      <c r="Q517" s="244">
        <v>1566</v>
      </c>
      <c r="R517" s="244">
        <v>831</v>
      </c>
      <c r="S517" s="244">
        <v>174</v>
      </c>
      <c r="T517" s="244">
        <f t="shared" si="66"/>
        <v>2571</v>
      </c>
      <c r="U517" s="243">
        <f>SUM(V517:Z517)</f>
        <v>2397</v>
      </c>
      <c r="V517" s="243"/>
      <c r="W517" s="243">
        <v>1129</v>
      </c>
      <c r="X517" s="243">
        <v>1200</v>
      </c>
      <c r="Y517" s="243">
        <v>68</v>
      </c>
      <c r="Z517" s="243">
        <v>0</v>
      </c>
      <c r="AA517" s="243">
        <v>174</v>
      </c>
      <c r="AB517" s="243"/>
      <c r="AC517" s="243">
        <v>174</v>
      </c>
      <c r="AD517" s="243"/>
      <c r="AE517" s="243">
        <f t="shared" si="65"/>
        <v>991</v>
      </c>
      <c r="AF517" s="245">
        <v>0.85</v>
      </c>
      <c r="AG517" s="245">
        <v>2.9</v>
      </c>
      <c r="AH517" s="246">
        <v>1569</v>
      </c>
      <c r="AI517" s="246">
        <v>1505</v>
      </c>
      <c r="AJ517" s="241" t="s">
        <v>92</v>
      </c>
      <c r="AK517" s="241">
        <v>2016</v>
      </c>
      <c r="AL517" s="241">
        <v>2022</v>
      </c>
      <c r="AM517" s="247" t="s">
        <v>1218</v>
      </c>
      <c r="AN517" s="247">
        <v>39813</v>
      </c>
      <c r="AO517" s="247">
        <v>40559</v>
      </c>
      <c r="AP517" s="109">
        <v>41023</v>
      </c>
      <c r="AQ517" s="109">
        <v>43550</v>
      </c>
      <c r="AR517" s="109">
        <v>41215</v>
      </c>
      <c r="AS517" s="109"/>
      <c r="AT517" s="109"/>
      <c r="AU517" s="109">
        <v>36880</v>
      </c>
      <c r="AV517" s="248" t="s">
        <v>70</v>
      </c>
      <c r="AW517" s="249" t="s">
        <v>70</v>
      </c>
      <c r="AX517" s="109"/>
      <c r="AY517" s="109">
        <v>42002</v>
      </c>
      <c r="AZ517" s="109">
        <v>42675</v>
      </c>
      <c r="BA517" s="109">
        <v>43003</v>
      </c>
      <c r="BB517" s="109">
        <v>43405</v>
      </c>
      <c r="BC517" s="109">
        <v>43406</v>
      </c>
      <c r="BD517" s="109">
        <v>44550</v>
      </c>
      <c r="BE517" s="109">
        <v>44706</v>
      </c>
      <c r="BF517" s="109">
        <v>45337</v>
      </c>
      <c r="BG517" s="333">
        <v>46205</v>
      </c>
      <c r="BH517" s="285" t="s">
        <v>1608</v>
      </c>
    </row>
    <row r="518" spans="1:60" s="61" customFormat="1" ht="20.100000000000001" customHeight="1">
      <c r="A518" s="195">
        <v>513</v>
      </c>
      <c r="B518" s="196" t="s">
        <v>1214</v>
      </c>
      <c r="C518" s="65" t="s">
        <v>88</v>
      </c>
      <c r="D518" s="65" t="s">
        <v>85</v>
      </c>
      <c r="E518" s="65" t="s">
        <v>1274</v>
      </c>
      <c r="F518" s="65" t="s">
        <v>1275</v>
      </c>
      <c r="G518" s="110">
        <v>66237.5</v>
      </c>
      <c r="H518" s="196"/>
      <c r="I518" s="110"/>
      <c r="J518" s="110"/>
      <c r="K518" s="110"/>
      <c r="L518" s="110"/>
      <c r="M518" s="110"/>
      <c r="N518" s="110"/>
      <c r="O518" s="110"/>
      <c r="P518" s="197"/>
      <c r="Q518" s="197"/>
      <c r="R518" s="197"/>
      <c r="S518" s="197"/>
      <c r="T518" s="197"/>
      <c r="U518" s="110"/>
      <c r="V518" s="110"/>
      <c r="W518" s="110"/>
      <c r="X518" s="110"/>
      <c r="Y518" s="110"/>
      <c r="Z518" s="110"/>
      <c r="AA518" s="110"/>
      <c r="AB518" s="110"/>
      <c r="AC518" s="110"/>
      <c r="AD518" s="110"/>
      <c r="AE518" s="110"/>
      <c r="AF518" s="198"/>
      <c r="AG518" s="198"/>
      <c r="AH518" s="199">
        <v>1005</v>
      </c>
      <c r="AI518" s="199"/>
      <c r="AJ518" s="196" t="s">
        <v>88</v>
      </c>
      <c r="AK518" s="196">
        <v>2025</v>
      </c>
      <c r="AL518" s="196">
        <v>2040</v>
      </c>
      <c r="AM518" s="200">
        <v>45926</v>
      </c>
      <c r="AN518" s="200"/>
      <c r="AO518" s="200"/>
      <c r="AP518" s="107"/>
      <c r="AQ518" s="107"/>
      <c r="AR518" s="107">
        <v>46168</v>
      </c>
      <c r="AS518" s="107"/>
      <c r="AT518" s="107"/>
      <c r="AU518" s="107"/>
      <c r="AV518" s="203"/>
      <c r="AW518" s="204"/>
      <c r="AX518" s="107"/>
      <c r="AY518" s="107"/>
      <c r="AZ518" s="107"/>
      <c r="BA518" s="107"/>
      <c r="BB518" s="107"/>
      <c r="BC518" s="107"/>
      <c r="BD518" s="107"/>
      <c r="BE518" s="107"/>
      <c r="BF518" s="107"/>
      <c r="BG518" s="321"/>
      <c r="BH518" s="285" t="s">
        <v>1608</v>
      </c>
    </row>
    <row r="519" spans="1:60" s="61" customFormat="1" ht="20.100000000000001" customHeight="1">
      <c r="A519" s="195">
        <v>514</v>
      </c>
      <c r="B519" s="196" t="s">
        <v>1214</v>
      </c>
      <c r="C519" s="65" t="s">
        <v>88</v>
      </c>
      <c r="D519" s="65" t="s">
        <v>85</v>
      </c>
      <c r="E519" s="65" t="s">
        <v>1276</v>
      </c>
      <c r="F519" s="65" t="s">
        <v>1277</v>
      </c>
      <c r="G519" s="110">
        <v>20298</v>
      </c>
      <c r="H519" s="196"/>
      <c r="I519" s="110"/>
      <c r="J519" s="110"/>
      <c r="K519" s="110"/>
      <c r="L519" s="110"/>
      <c r="M519" s="110"/>
      <c r="N519" s="110"/>
      <c r="O519" s="110"/>
      <c r="P519" s="197"/>
      <c r="Q519" s="197"/>
      <c r="R519" s="197"/>
      <c r="S519" s="197"/>
      <c r="T519" s="197"/>
      <c r="U519" s="110"/>
      <c r="V519" s="110"/>
      <c r="W519" s="110"/>
      <c r="X519" s="110"/>
      <c r="Y519" s="110"/>
      <c r="Z519" s="110"/>
      <c r="AA519" s="110"/>
      <c r="AB519" s="110"/>
      <c r="AC519" s="110"/>
      <c r="AD519" s="110"/>
      <c r="AE519" s="110"/>
      <c r="AF519" s="198"/>
      <c r="AG519" s="198"/>
      <c r="AH519" s="199">
        <v>135</v>
      </c>
      <c r="AI519" s="199"/>
      <c r="AJ519" s="196" t="s">
        <v>88</v>
      </c>
      <c r="AK519" s="196">
        <v>2025</v>
      </c>
      <c r="AL519" s="196">
        <v>2040</v>
      </c>
      <c r="AM519" s="200">
        <v>45926</v>
      </c>
      <c r="AN519" s="200"/>
      <c r="AO519" s="200"/>
      <c r="AP519" s="107"/>
      <c r="AQ519" s="107"/>
      <c r="AR519" s="107">
        <v>46122</v>
      </c>
      <c r="AS519" s="107"/>
      <c r="AT519" s="107"/>
      <c r="AU519" s="107"/>
      <c r="AV519" s="203"/>
      <c r="AW519" s="204"/>
      <c r="AX519" s="107"/>
      <c r="AY519" s="107"/>
      <c r="AZ519" s="107"/>
      <c r="BA519" s="107"/>
      <c r="BB519" s="107"/>
      <c r="BC519" s="107"/>
      <c r="BD519" s="107"/>
      <c r="BE519" s="107"/>
      <c r="BF519" s="107"/>
      <c r="BG519" s="321"/>
      <c r="BH519" s="285" t="s">
        <v>1609</v>
      </c>
    </row>
    <row r="520" spans="1:60" s="61" customFormat="1" ht="20.100000000000001" customHeight="1">
      <c r="A520" s="195">
        <v>515</v>
      </c>
      <c r="B520" s="196" t="s">
        <v>1214</v>
      </c>
      <c r="C520" s="65" t="s">
        <v>88</v>
      </c>
      <c r="D520" s="65" t="s">
        <v>85</v>
      </c>
      <c r="E520" s="65" t="s">
        <v>1278</v>
      </c>
      <c r="F520" s="65" t="s">
        <v>1279</v>
      </c>
      <c r="G520" s="110">
        <v>79544</v>
      </c>
      <c r="H520" s="196"/>
      <c r="I520" s="110"/>
      <c r="J520" s="110"/>
      <c r="K520" s="110"/>
      <c r="L520" s="110"/>
      <c r="M520" s="110"/>
      <c r="N520" s="110"/>
      <c r="O520" s="110"/>
      <c r="P520" s="197"/>
      <c r="Q520" s="197"/>
      <c r="R520" s="197"/>
      <c r="S520" s="197"/>
      <c r="T520" s="197"/>
      <c r="U520" s="110"/>
      <c r="V520" s="110"/>
      <c r="W520" s="110"/>
      <c r="X520" s="110"/>
      <c r="Y520" s="110"/>
      <c r="Z520" s="110"/>
      <c r="AA520" s="110"/>
      <c r="AB520" s="110"/>
      <c r="AC520" s="110"/>
      <c r="AD520" s="110"/>
      <c r="AE520" s="110"/>
      <c r="AF520" s="198"/>
      <c r="AG520" s="198"/>
      <c r="AH520" s="199">
        <v>613</v>
      </c>
      <c r="AI520" s="199"/>
      <c r="AJ520" s="196" t="s">
        <v>88</v>
      </c>
      <c r="AK520" s="196">
        <v>2025</v>
      </c>
      <c r="AL520" s="196">
        <v>2040</v>
      </c>
      <c r="AM520" s="200">
        <v>45926</v>
      </c>
      <c r="AN520" s="202" t="s">
        <v>1226</v>
      </c>
      <c r="AO520" s="202">
        <v>45926</v>
      </c>
      <c r="AP520" s="107"/>
      <c r="AQ520" s="107"/>
      <c r="AR520" s="107">
        <v>46142</v>
      </c>
      <c r="AS520" s="107"/>
      <c r="AT520" s="107"/>
      <c r="AU520" s="107"/>
      <c r="AV520" s="203"/>
      <c r="AW520" s="204"/>
      <c r="AX520" s="107"/>
      <c r="AY520" s="107"/>
      <c r="AZ520" s="107"/>
      <c r="BA520" s="107"/>
      <c r="BB520" s="107"/>
      <c r="BC520" s="107"/>
      <c r="BD520" s="107"/>
      <c r="BE520" s="107"/>
      <c r="BF520" s="107"/>
      <c r="BG520" s="321"/>
      <c r="BH520" s="285" t="s">
        <v>1611</v>
      </c>
    </row>
    <row r="521" spans="1:60" s="61" customFormat="1" ht="20.100000000000001" customHeight="1">
      <c r="A521" s="195">
        <v>516</v>
      </c>
      <c r="B521" s="196" t="s">
        <v>1214</v>
      </c>
      <c r="C521" s="65" t="s">
        <v>88</v>
      </c>
      <c r="D521" s="65" t="s">
        <v>73</v>
      </c>
      <c r="E521" s="65" t="s">
        <v>1505</v>
      </c>
      <c r="F521" s="65" t="s">
        <v>1280</v>
      </c>
      <c r="G521" s="110">
        <v>29780</v>
      </c>
      <c r="H521" s="196"/>
      <c r="I521" s="110"/>
      <c r="J521" s="110"/>
      <c r="K521" s="110"/>
      <c r="L521" s="110"/>
      <c r="M521" s="110"/>
      <c r="N521" s="110"/>
      <c r="O521" s="110"/>
      <c r="P521" s="197"/>
      <c r="Q521" s="197"/>
      <c r="R521" s="197"/>
      <c r="S521" s="197"/>
      <c r="T521" s="197"/>
      <c r="U521" s="110"/>
      <c r="V521" s="110"/>
      <c r="W521" s="110"/>
      <c r="X521" s="110"/>
      <c r="Y521" s="110"/>
      <c r="Z521" s="110"/>
      <c r="AA521" s="110"/>
      <c r="AB521" s="110"/>
      <c r="AC521" s="110"/>
      <c r="AD521" s="110"/>
      <c r="AE521" s="110"/>
      <c r="AF521" s="198"/>
      <c r="AG521" s="198"/>
      <c r="AH521" s="199">
        <v>620</v>
      </c>
      <c r="AI521" s="199"/>
      <c r="AJ521" s="196" t="s">
        <v>88</v>
      </c>
      <c r="AK521" s="196">
        <v>2025</v>
      </c>
      <c r="AL521" s="196">
        <v>2040</v>
      </c>
      <c r="AM521" s="200">
        <v>45926</v>
      </c>
      <c r="AN521" s="200"/>
      <c r="AO521" s="200"/>
      <c r="AP521" s="107"/>
      <c r="AQ521" s="107"/>
      <c r="AR521" s="107">
        <v>46107</v>
      </c>
      <c r="AS521" s="107"/>
      <c r="AT521" s="107"/>
      <c r="AU521" s="107"/>
      <c r="AV521" s="203"/>
      <c r="AW521" s="204"/>
      <c r="AX521" s="107"/>
      <c r="AY521" s="210"/>
      <c r="AZ521" s="107"/>
      <c r="BA521" s="107"/>
      <c r="BB521" s="107"/>
      <c r="BC521" s="107"/>
      <c r="BD521" s="107"/>
      <c r="BE521" s="107"/>
      <c r="BF521" s="107"/>
      <c r="BG521" s="321"/>
      <c r="BH521" s="285" t="s">
        <v>1609</v>
      </c>
    </row>
    <row r="522" spans="1:60" s="61" customFormat="1" ht="20.100000000000001" customHeight="1">
      <c r="A522" s="195">
        <v>517</v>
      </c>
      <c r="B522" s="196" t="s">
        <v>1281</v>
      </c>
      <c r="C522" s="65" t="s">
        <v>65</v>
      </c>
      <c r="D522" s="65" t="s">
        <v>73</v>
      </c>
      <c r="E522" s="65" t="s">
        <v>1282</v>
      </c>
      <c r="F522" s="65" t="s">
        <v>1283</v>
      </c>
      <c r="G522" s="110">
        <v>13038.7</v>
      </c>
      <c r="H522" s="196">
        <v>1982</v>
      </c>
      <c r="I522" s="110">
        <v>7</v>
      </c>
      <c r="J522" s="110">
        <f t="shared" ref="J522:J536" si="68">SUM(K522:O522)</f>
        <v>120</v>
      </c>
      <c r="K522" s="110">
        <v>6</v>
      </c>
      <c r="L522" s="110">
        <v>114</v>
      </c>
      <c r="M522" s="110"/>
      <c r="N522" s="110"/>
      <c r="O522" s="110"/>
      <c r="P522" s="197">
        <f>SUM(Q522:S522)</f>
        <v>258</v>
      </c>
      <c r="Q522" s="197">
        <v>120</v>
      </c>
      <c r="R522" s="197">
        <v>138</v>
      </c>
      <c r="S522" s="197"/>
      <c r="T522" s="197">
        <f t="shared" ref="T522:T547" si="69">U522+AA522</f>
        <v>258</v>
      </c>
      <c r="U522" s="110">
        <f>SUM(V522:Z522)</f>
        <v>258</v>
      </c>
      <c r="V522" s="110"/>
      <c r="W522" s="110">
        <v>80</v>
      </c>
      <c r="X522" s="110">
        <v>178</v>
      </c>
      <c r="Y522" s="110"/>
      <c r="Z522" s="110"/>
      <c r="AA522" s="110"/>
      <c r="AB522" s="110"/>
      <c r="AC522" s="110"/>
      <c r="AD522" s="110"/>
      <c r="AE522" s="110">
        <f t="shared" ref="AE522:AE547" si="70">T522-J522</f>
        <v>138</v>
      </c>
      <c r="AF522" s="198">
        <v>0.52</v>
      </c>
      <c r="AG522" s="198">
        <v>2.5</v>
      </c>
      <c r="AH522" s="199">
        <v>117</v>
      </c>
      <c r="AI522" s="199">
        <v>115</v>
      </c>
      <c r="AJ522" s="65" t="s">
        <v>92</v>
      </c>
      <c r="AK522" s="196">
        <v>2014</v>
      </c>
      <c r="AL522" s="196"/>
      <c r="AM522" s="200" t="s">
        <v>914</v>
      </c>
      <c r="AN522" s="200" t="s">
        <v>914</v>
      </c>
      <c r="AO522" s="107">
        <v>38600</v>
      </c>
      <c r="AP522" s="107">
        <v>39181</v>
      </c>
      <c r="AQ522" s="107">
        <v>44434</v>
      </c>
      <c r="AR522" s="107">
        <v>37930</v>
      </c>
      <c r="AS522" s="107">
        <v>37782</v>
      </c>
      <c r="AT522" s="107"/>
      <c r="AU522" s="107">
        <v>37828</v>
      </c>
      <c r="AV522" s="107" t="s">
        <v>82</v>
      </c>
      <c r="AW522" s="196" t="s">
        <v>70</v>
      </c>
      <c r="AX522" s="107"/>
      <c r="AY522" s="107">
        <v>43658</v>
      </c>
      <c r="AZ522" s="108">
        <v>44880</v>
      </c>
      <c r="BA522" s="107"/>
      <c r="BB522" s="107"/>
      <c r="BC522" s="107"/>
      <c r="BD522" s="107"/>
      <c r="BE522" s="107"/>
      <c r="BF522" s="107"/>
      <c r="BG522" s="321"/>
      <c r="BH522" s="285" t="s">
        <v>1612</v>
      </c>
    </row>
    <row r="523" spans="1:60" s="61" customFormat="1" ht="20.100000000000001" customHeight="1">
      <c r="A523" s="195">
        <v>518</v>
      </c>
      <c r="B523" s="196" t="s">
        <v>1281</v>
      </c>
      <c r="C523" s="65" t="s">
        <v>68</v>
      </c>
      <c r="D523" s="65" t="s">
        <v>73</v>
      </c>
      <c r="E523" s="65" t="s">
        <v>1284</v>
      </c>
      <c r="F523" s="65" t="s">
        <v>1285</v>
      </c>
      <c r="G523" s="110">
        <v>19969.400000000001</v>
      </c>
      <c r="H523" s="196">
        <v>1985</v>
      </c>
      <c r="I523" s="110">
        <v>9</v>
      </c>
      <c r="J523" s="110">
        <f t="shared" si="68"/>
        <v>300</v>
      </c>
      <c r="K523" s="110"/>
      <c r="L523" s="110">
        <v>300</v>
      </c>
      <c r="M523" s="110"/>
      <c r="N523" s="110"/>
      <c r="O523" s="110"/>
      <c r="P523" s="197">
        <f>SUM(Q523:S523)</f>
        <v>576</v>
      </c>
      <c r="Q523" s="197">
        <v>256</v>
      </c>
      <c r="R523" s="197">
        <v>320</v>
      </c>
      <c r="S523" s="197"/>
      <c r="T523" s="197">
        <f t="shared" si="69"/>
        <v>576</v>
      </c>
      <c r="U523" s="110">
        <f>SUM(V523:Z523)</f>
        <v>576</v>
      </c>
      <c r="V523" s="110"/>
      <c r="W523" s="110">
        <v>115</v>
      </c>
      <c r="X523" s="110">
        <v>461</v>
      </c>
      <c r="Y523" s="110"/>
      <c r="Z523" s="110"/>
      <c r="AA523" s="110"/>
      <c r="AB523" s="110"/>
      <c r="AC523" s="110"/>
      <c r="AD523" s="110"/>
      <c r="AE523" s="110">
        <f t="shared" si="70"/>
        <v>276</v>
      </c>
      <c r="AF523" s="198">
        <v>0.87</v>
      </c>
      <c r="AG523" s="198">
        <v>2.8</v>
      </c>
      <c r="AH523" s="199">
        <v>301</v>
      </c>
      <c r="AI523" s="199">
        <v>227</v>
      </c>
      <c r="AJ523" s="196" t="s">
        <v>92</v>
      </c>
      <c r="AK523" s="196">
        <v>2014</v>
      </c>
      <c r="AL523" s="196"/>
      <c r="AM523" s="200" t="s">
        <v>914</v>
      </c>
      <c r="AN523" s="200" t="s">
        <v>914</v>
      </c>
      <c r="AO523" s="200">
        <v>40882</v>
      </c>
      <c r="AP523" s="107">
        <v>41396</v>
      </c>
      <c r="AQ523" s="107">
        <v>42405</v>
      </c>
      <c r="AR523" s="107">
        <v>40042</v>
      </c>
      <c r="AS523" s="107">
        <v>40484</v>
      </c>
      <c r="AT523" s="107"/>
      <c r="AU523" s="107">
        <v>40630</v>
      </c>
      <c r="AV523" s="107" t="s">
        <v>82</v>
      </c>
      <c r="AW523" s="196" t="s">
        <v>70</v>
      </c>
      <c r="AX523" s="107"/>
      <c r="AY523" s="107">
        <v>41547</v>
      </c>
      <c r="AZ523" s="107">
        <v>43901</v>
      </c>
      <c r="BA523" s="107">
        <v>44133</v>
      </c>
      <c r="BB523" s="107">
        <v>44655</v>
      </c>
      <c r="BC523" s="107">
        <v>44657</v>
      </c>
      <c r="BD523" s="107">
        <v>45643</v>
      </c>
      <c r="BE523" s="107">
        <v>46094</v>
      </c>
      <c r="BF523" s="107"/>
      <c r="BG523" s="321"/>
      <c r="BH523" s="285" t="s">
        <v>1612</v>
      </c>
    </row>
    <row r="524" spans="1:60" s="61" customFormat="1" ht="20.100000000000001" customHeight="1">
      <c r="A524" s="195">
        <v>519</v>
      </c>
      <c r="B524" s="196" t="s">
        <v>1286</v>
      </c>
      <c r="C524" s="65" t="s">
        <v>88</v>
      </c>
      <c r="D524" s="65" t="s">
        <v>73</v>
      </c>
      <c r="E524" s="65" t="s">
        <v>1287</v>
      </c>
      <c r="F524" s="65" t="s">
        <v>1288</v>
      </c>
      <c r="G524" s="110">
        <v>16404</v>
      </c>
      <c r="H524" s="196" t="s">
        <v>1289</v>
      </c>
      <c r="I524" s="110">
        <v>8</v>
      </c>
      <c r="J524" s="110">
        <f t="shared" si="68"/>
        <v>435</v>
      </c>
      <c r="K524" s="110">
        <v>20</v>
      </c>
      <c r="L524" s="110">
        <v>80</v>
      </c>
      <c r="M524" s="110">
        <v>235</v>
      </c>
      <c r="N524" s="110">
        <v>100</v>
      </c>
      <c r="O524" s="110"/>
      <c r="P524" s="197"/>
      <c r="Q524" s="197"/>
      <c r="R524" s="197"/>
      <c r="S524" s="197"/>
      <c r="T524" s="197">
        <f t="shared" si="69"/>
        <v>0</v>
      </c>
      <c r="U524" s="110"/>
      <c r="V524" s="110"/>
      <c r="W524" s="110"/>
      <c r="X524" s="110"/>
      <c r="Y524" s="110"/>
      <c r="Z524" s="110"/>
      <c r="AA524" s="110"/>
      <c r="AB524" s="110"/>
      <c r="AC524" s="110"/>
      <c r="AD524" s="110"/>
      <c r="AE524" s="110">
        <f t="shared" si="70"/>
        <v>-435</v>
      </c>
      <c r="AF524" s="198">
        <v>2.2999999999999998</v>
      </c>
      <c r="AG524" s="198">
        <v>2.2999999999999998</v>
      </c>
      <c r="AH524" s="199">
        <v>435</v>
      </c>
      <c r="AI524" s="199"/>
      <c r="AJ524" s="196"/>
      <c r="AK524" s="196"/>
      <c r="AL524" s="196"/>
      <c r="AM524" s="200">
        <v>41645</v>
      </c>
      <c r="AN524" s="200">
        <v>44196</v>
      </c>
      <c r="AO524" s="107"/>
      <c r="AP524" s="107"/>
      <c r="AQ524" s="107"/>
      <c r="AR524" s="107">
        <v>45986</v>
      </c>
      <c r="AS524" s="108">
        <v>43598</v>
      </c>
      <c r="AT524" s="226">
        <v>2024</v>
      </c>
      <c r="AU524" s="107">
        <v>45397</v>
      </c>
      <c r="AV524" s="203" t="s">
        <v>82</v>
      </c>
      <c r="AW524" s="204" t="s">
        <v>70</v>
      </c>
      <c r="AX524" s="107"/>
      <c r="AY524" s="107"/>
      <c r="AZ524" s="107"/>
      <c r="BA524" s="107"/>
      <c r="BB524" s="107"/>
      <c r="BC524" s="107"/>
      <c r="BD524" s="107"/>
      <c r="BE524" s="107"/>
      <c r="BF524" s="107"/>
      <c r="BG524" s="321"/>
      <c r="BH524" s="285" t="s">
        <v>1613</v>
      </c>
    </row>
    <row r="525" spans="1:60" s="61" customFormat="1" ht="20.100000000000001" customHeight="1">
      <c r="A525" s="195">
        <v>520</v>
      </c>
      <c r="B525" s="196" t="s">
        <v>1286</v>
      </c>
      <c r="C525" s="65" t="s">
        <v>64</v>
      </c>
      <c r="D525" s="65" t="s">
        <v>85</v>
      </c>
      <c r="E525" s="65" t="s">
        <v>1290</v>
      </c>
      <c r="F525" s="65" t="s">
        <v>1291</v>
      </c>
      <c r="G525" s="110">
        <v>29320</v>
      </c>
      <c r="H525" s="196" t="s">
        <v>1292</v>
      </c>
      <c r="I525" s="110">
        <v>84</v>
      </c>
      <c r="J525" s="110">
        <f t="shared" si="68"/>
        <v>723</v>
      </c>
      <c r="K525" s="110">
        <v>43</v>
      </c>
      <c r="L525" s="110">
        <v>180</v>
      </c>
      <c r="M525" s="110">
        <v>350</v>
      </c>
      <c r="N525" s="110">
        <v>150</v>
      </c>
      <c r="O525" s="110"/>
      <c r="P525" s="197">
        <f t="shared" ref="P525:P536" si="71">SUM(Q525:S525)</f>
        <v>663</v>
      </c>
      <c r="Q525" s="197">
        <v>533</v>
      </c>
      <c r="R525" s="197">
        <v>50</v>
      </c>
      <c r="S525" s="197">
        <v>80</v>
      </c>
      <c r="T525" s="197">
        <f t="shared" si="69"/>
        <v>663</v>
      </c>
      <c r="U525" s="110">
        <f t="shared" ref="U525:U536" si="72">SUM(V525:Z525)</f>
        <v>583</v>
      </c>
      <c r="V525" s="110"/>
      <c r="W525" s="110">
        <v>423</v>
      </c>
      <c r="X525" s="110">
        <v>160</v>
      </c>
      <c r="Y525" s="110"/>
      <c r="Z525" s="110"/>
      <c r="AA525" s="110">
        <f>SUM(AB525:AD525)</f>
        <v>80</v>
      </c>
      <c r="AB525" s="110">
        <v>61</v>
      </c>
      <c r="AC525" s="110">
        <v>19</v>
      </c>
      <c r="AD525" s="110"/>
      <c r="AE525" s="110">
        <f t="shared" si="70"/>
        <v>-60</v>
      </c>
      <c r="AF525" s="198">
        <v>2</v>
      </c>
      <c r="AG525" s="198">
        <v>2.2999999999999998</v>
      </c>
      <c r="AH525" s="199">
        <v>557</v>
      </c>
      <c r="AI525" s="199">
        <v>557</v>
      </c>
      <c r="AJ525" s="196"/>
      <c r="AK525" s="196"/>
      <c r="AL525" s="196"/>
      <c r="AM525" s="200">
        <v>41645</v>
      </c>
      <c r="AN525" s="200">
        <v>44196</v>
      </c>
      <c r="AO525" s="107"/>
      <c r="AP525" s="107">
        <v>44922</v>
      </c>
      <c r="AQ525" s="107"/>
      <c r="AR525" s="107">
        <v>45022</v>
      </c>
      <c r="AS525" s="107"/>
      <c r="AT525" s="107"/>
      <c r="AU525" s="107"/>
      <c r="AV525" s="203" t="s">
        <v>70</v>
      </c>
      <c r="AW525" s="204" t="s">
        <v>70</v>
      </c>
      <c r="AX525" s="107"/>
      <c r="AY525" s="107">
        <v>45397</v>
      </c>
      <c r="AZ525" s="107"/>
      <c r="BA525" s="107"/>
      <c r="BB525" s="107"/>
      <c r="BC525" s="107"/>
      <c r="BD525" s="107"/>
      <c r="BE525" s="107"/>
      <c r="BF525" s="107"/>
      <c r="BG525" s="321"/>
      <c r="BH525" s="285" t="s">
        <v>1613</v>
      </c>
    </row>
    <row r="526" spans="1:60" s="61" customFormat="1" ht="20.100000000000001" customHeight="1">
      <c r="A526" s="195">
        <v>521</v>
      </c>
      <c r="B526" s="196" t="s">
        <v>1286</v>
      </c>
      <c r="C526" s="65" t="s">
        <v>64</v>
      </c>
      <c r="D526" s="65" t="s">
        <v>85</v>
      </c>
      <c r="E526" s="65" t="s">
        <v>1293</v>
      </c>
      <c r="F526" s="65" t="s">
        <v>1294</v>
      </c>
      <c r="G526" s="110">
        <v>17738</v>
      </c>
      <c r="H526" s="196" t="s">
        <v>1295</v>
      </c>
      <c r="I526" s="110">
        <v>9</v>
      </c>
      <c r="J526" s="110">
        <f t="shared" si="68"/>
        <v>9</v>
      </c>
      <c r="K526" s="110"/>
      <c r="L526" s="110">
        <v>4</v>
      </c>
      <c r="M526" s="110">
        <v>5</v>
      </c>
      <c r="N526" s="110"/>
      <c r="O526" s="110"/>
      <c r="P526" s="197">
        <f t="shared" si="71"/>
        <v>308</v>
      </c>
      <c r="Q526" s="197">
        <v>98</v>
      </c>
      <c r="R526" s="197">
        <v>172</v>
      </c>
      <c r="S526" s="197">
        <v>38</v>
      </c>
      <c r="T526" s="197">
        <f t="shared" si="69"/>
        <v>308</v>
      </c>
      <c r="U526" s="110">
        <f t="shared" si="72"/>
        <v>270</v>
      </c>
      <c r="V526" s="110"/>
      <c r="W526" s="110">
        <f>2+146+48</f>
        <v>196</v>
      </c>
      <c r="X526" s="110">
        <f>25+49</f>
        <v>74</v>
      </c>
      <c r="Y526" s="110"/>
      <c r="Z526" s="110"/>
      <c r="AA526" s="110">
        <f>SUM(AB526:AD526)</f>
        <v>38</v>
      </c>
      <c r="AB526" s="110">
        <v>20</v>
      </c>
      <c r="AC526" s="110">
        <v>18</v>
      </c>
      <c r="AD526" s="110"/>
      <c r="AE526" s="110">
        <f t="shared" si="70"/>
        <v>299</v>
      </c>
      <c r="AF526" s="198">
        <v>1.5</v>
      </c>
      <c r="AG526" s="198">
        <v>2.2999999999999998</v>
      </c>
      <c r="AH526" s="199">
        <v>99</v>
      </c>
      <c r="AI526" s="199">
        <v>98</v>
      </c>
      <c r="AJ526" s="65" t="s">
        <v>92</v>
      </c>
      <c r="AK526" s="196">
        <v>2015</v>
      </c>
      <c r="AL526" s="196"/>
      <c r="AM526" s="200">
        <v>39072</v>
      </c>
      <c r="AN526" s="200">
        <v>39448</v>
      </c>
      <c r="AO526" s="107">
        <v>41653</v>
      </c>
      <c r="AP526" s="107">
        <v>42104</v>
      </c>
      <c r="AQ526" s="107">
        <v>42839</v>
      </c>
      <c r="AR526" s="107">
        <v>40210</v>
      </c>
      <c r="AS526" s="107"/>
      <c r="AT526" s="107"/>
      <c r="AU526" s="107"/>
      <c r="AV526" s="203" t="s">
        <v>70</v>
      </c>
      <c r="AW526" s="204" t="s">
        <v>70</v>
      </c>
      <c r="AX526" s="107"/>
      <c r="AY526" s="108">
        <v>43480</v>
      </c>
      <c r="AZ526" s="107"/>
      <c r="BA526" s="107"/>
      <c r="BB526" s="107"/>
      <c r="BC526" s="107"/>
      <c r="BD526" s="107"/>
      <c r="BE526" s="107"/>
      <c r="BF526" s="107"/>
      <c r="BG526" s="321"/>
      <c r="BH526" s="285" t="s">
        <v>1613</v>
      </c>
    </row>
    <row r="527" spans="1:60" s="61" customFormat="1" ht="20.100000000000001" customHeight="1">
      <c r="A527" s="195">
        <v>522</v>
      </c>
      <c r="B527" s="196" t="s">
        <v>1286</v>
      </c>
      <c r="C527" s="65" t="s">
        <v>64</v>
      </c>
      <c r="D527" s="65" t="s">
        <v>85</v>
      </c>
      <c r="E527" s="65" t="s">
        <v>1296</v>
      </c>
      <c r="F527" s="65" t="s">
        <v>1297</v>
      </c>
      <c r="G527" s="110">
        <v>24500</v>
      </c>
      <c r="H527" s="196" t="s">
        <v>1298</v>
      </c>
      <c r="I527" s="110">
        <v>45</v>
      </c>
      <c r="J527" s="110">
        <f t="shared" si="68"/>
        <v>196</v>
      </c>
      <c r="K527" s="110">
        <v>15</v>
      </c>
      <c r="L527" s="110">
        <v>70</v>
      </c>
      <c r="M527" s="110">
        <v>90</v>
      </c>
      <c r="N527" s="110">
        <v>21</v>
      </c>
      <c r="O527" s="110"/>
      <c r="P527" s="197">
        <f t="shared" si="71"/>
        <v>352</v>
      </c>
      <c r="Q527" s="197">
        <v>123</v>
      </c>
      <c r="R527" s="197">
        <v>169</v>
      </c>
      <c r="S527" s="197">
        <v>60</v>
      </c>
      <c r="T527" s="197">
        <f t="shared" si="69"/>
        <v>352</v>
      </c>
      <c r="U527" s="110">
        <f t="shared" si="72"/>
        <v>292</v>
      </c>
      <c r="V527" s="110"/>
      <c r="W527" s="110">
        <v>120</v>
      </c>
      <c r="X527" s="110">
        <v>140</v>
      </c>
      <c r="Y527" s="110">
        <v>32</v>
      </c>
      <c r="Z527" s="110"/>
      <c r="AA527" s="110">
        <f>SUM(AB527:AD527)</f>
        <v>60</v>
      </c>
      <c r="AB527" s="110">
        <v>60</v>
      </c>
      <c r="AC527" s="110"/>
      <c r="AD527" s="110"/>
      <c r="AE527" s="110">
        <f t="shared" si="70"/>
        <v>156</v>
      </c>
      <c r="AF527" s="198">
        <v>0.37</v>
      </c>
      <c r="AG527" s="198">
        <v>2.2200000000000002</v>
      </c>
      <c r="AH527" s="199">
        <v>124</v>
      </c>
      <c r="AI527" s="199">
        <v>123</v>
      </c>
      <c r="AJ527" s="196" t="s">
        <v>92</v>
      </c>
      <c r="AK527" s="196">
        <v>2009</v>
      </c>
      <c r="AL527" s="196"/>
      <c r="AM527" s="200">
        <v>39072</v>
      </c>
      <c r="AN527" s="200">
        <v>39072</v>
      </c>
      <c r="AO527" s="200">
        <v>39994</v>
      </c>
      <c r="AP527" s="107">
        <v>40171</v>
      </c>
      <c r="AQ527" s="107"/>
      <c r="AR527" s="107">
        <v>39146</v>
      </c>
      <c r="AS527" s="107"/>
      <c r="AT527" s="107"/>
      <c r="AU527" s="107"/>
      <c r="AV527" s="203" t="s">
        <v>70</v>
      </c>
      <c r="AW527" s="204" t="s">
        <v>70</v>
      </c>
      <c r="AX527" s="107"/>
      <c r="AY527" s="107">
        <v>40347</v>
      </c>
      <c r="AZ527" s="107"/>
      <c r="BA527" s="107"/>
      <c r="BB527" s="107"/>
      <c r="BC527" s="107"/>
      <c r="BD527" s="107"/>
      <c r="BE527" s="107"/>
      <c r="BF527" s="107"/>
      <c r="BG527" s="321"/>
      <c r="BH527" s="285" t="s">
        <v>1613</v>
      </c>
    </row>
    <row r="528" spans="1:60" s="61" customFormat="1" ht="20.100000000000001" customHeight="1">
      <c r="A528" s="195">
        <v>523</v>
      </c>
      <c r="B528" s="196" t="s">
        <v>1286</v>
      </c>
      <c r="C528" s="65" t="s">
        <v>65</v>
      </c>
      <c r="D528" s="65" t="s">
        <v>85</v>
      </c>
      <c r="E528" s="65" t="s">
        <v>1299</v>
      </c>
      <c r="F528" s="65" t="s">
        <v>1300</v>
      </c>
      <c r="G528" s="110">
        <v>16154</v>
      </c>
      <c r="H528" s="196" t="s">
        <v>1301</v>
      </c>
      <c r="I528" s="110">
        <v>14</v>
      </c>
      <c r="J528" s="110">
        <f t="shared" si="68"/>
        <v>160</v>
      </c>
      <c r="K528" s="110">
        <v>10</v>
      </c>
      <c r="L528" s="110">
        <v>60</v>
      </c>
      <c r="M528" s="110">
        <v>80</v>
      </c>
      <c r="N528" s="110">
        <v>10</v>
      </c>
      <c r="O528" s="110"/>
      <c r="P528" s="197">
        <f t="shared" si="71"/>
        <v>309</v>
      </c>
      <c r="Q528" s="197">
        <v>129</v>
      </c>
      <c r="R528" s="197">
        <v>142</v>
      </c>
      <c r="S528" s="197">
        <v>38</v>
      </c>
      <c r="T528" s="197">
        <f t="shared" si="69"/>
        <v>309</v>
      </c>
      <c r="U528" s="110">
        <f t="shared" si="72"/>
        <v>271</v>
      </c>
      <c r="V528" s="110">
        <v>7</v>
      </c>
      <c r="W528" s="110">
        <f>47+155</f>
        <v>202</v>
      </c>
      <c r="X528" s="110">
        <v>62</v>
      </c>
      <c r="Y528" s="110"/>
      <c r="Z528" s="110"/>
      <c r="AA528" s="110">
        <f>SUM(AB528:AD528)</f>
        <v>38</v>
      </c>
      <c r="AB528" s="110">
        <v>38</v>
      </c>
      <c r="AC528" s="110"/>
      <c r="AD528" s="110"/>
      <c r="AE528" s="110">
        <f t="shared" si="70"/>
        <v>149</v>
      </c>
      <c r="AF528" s="198">
        <v>0.55000000000000004</v>
      </c>
      <c r="AG528" s="198">
        <v>2.1800000000000002</v>
      </c>
      <c r="AH528" s="199">
        <v>132</v>
      </c>
      <c r="AI528" s="199">
        <v>129</v>
      </c>
      <c r="AJ528" s="196" t="s">
        <v>92</v>
      </c>
      <c r="AK528" s="196">
        <v>2008</v>
      </c>
      <c r="AL528" s="196"/>
      <c r="AM528" s="200">
        <v>39072</v>
      </c>
      <c r="AN528" s="200"/>
      <c r="AO528" s="107"/>
      <c r="AP528" s="107">
        <v>39973</v>
      </c>
      <c r="AQ528" s="107">
        <v>40711</v>
      </c>
      <c r="AR528" s="107">
        <v>39195</v>
      </c>
      <c r="AS528" s="107"/>
      <c r="AT528" s="107"/>
      <c r="AU528" s="107"/>
      <c r="AV528" s="203" t="s">
        <v>70</v>
      </c>
      <c r="AW528" s="204" t="s">
        <v>70</v>
      </c>
      <c r="AX528" s="107"/>
      <c r="AY528" s="107">
        <v>40137</v>
      </c>
      <c r="AZ528" s="107">
        <v>40718</v>
      </c>
      <c r="BA528" s="107"/>
      <c r="BB528" s="107"/>
      <c r="BC528" s="107"/>
      <c r="BD528" s="107"/>
      <c r="BE528" s="107"/>
      <c r="BF528" s="107"/>
      <c r="BG528" s="321"/>
      <c r="BH528" s="285" t="s">
        <v>1613</v>
      </c>
    </row>
    <row r="529" spans="1:60" s="61" customFormat="1" ht="20.100000000000001" customHeight="1">
      <c r="A529" s="195">
        <v>524</v>
      </c>
      <c r="B529" s="196" t="s">
        <v>1286</v>
      </c>
      <c r="C529" s="65" t="s">
        <v>66</v>
      </c>
      <c r="D529" s="65" t="s">
        <v>73</v>
      </c>
      <c r="E529" s="65" t="s">
        <v>1302</v>
      </c>
      <c r="F529" s="65" t="s">
        <v>1303</v>
      </c>
      <c r="G529" s="110">
        <v>13062</v>
      </c>
      <c r="H529" s="196" t="s">
        <v>1304</v>
      </c>
      <c r="I529" s="110">
        <v>13</v>
      </c>
      <c r="J529" s="110">
        <f t="shared" si="68"/>
        <v>267</v>
      </c>
      <c r="K529" s="110">
        <v>20</v>
      </c>
      <c r="L529" s="110">
        <v>90</v>
      </c>
      <c r="M529" s="110">
        <v>120</v>
      </c>
      <c r="N529" s="110">
        <v>37</v>
      </c>
      <c r="O529" s="110"/>
      <c r="P529" s="197">
        <f t="shared" si="71"/>
        <v>272</v>
      </c>
      <c r="Q529" s="197">
        <v>169</v>
      </c>
      <c r="R529" s="197">
        <v>103</v>
      </c>
      <c r="S529" s="197"/>
      <c r="T529" s="197">
        <f t="shared" si="69"/>
        <v>272</v>
      </c>
      <c r="U529" s="110">
        <f t="shared" si="72"/>
        <v>272</v>
      </c>
      <c r="V529" s="110"/>
      <c r="W529" s="110">
        <v>132</v>
      </c>
      <c r="X529" s="110">
        <v>140</v>
      </c>
      <c r="Y529" s="110"/>
      <c r="Z529" s="110"/>
      <c r="AA529" s="110"/>
      <c r="AB529" s="110"/>
      <c r="AC529" s="110"/>
      <c r="AD529" s="110"/>
      <c r="AE529" s="110">
        <f t="shared" si="70"/>
        <v>5</v>
      </c>
      <c r="AF529" s="198">
        <v>1.04</v>
      </c>
      <c r="AG529" s="198">
        <v>2.2999999999999998</v>
      </c>
      <c r="AH529" s="199">
        <v>186</v>
      </c>
      <c r="AI529" s="199">
        <v>169</v>
      </c>
      <c r="AJ529" s="196" t="s">
        <v>92</v>
      </c>
      <c r="AK529" s="196">
        <v>2010</v>
      </c>
      <c r="AL529" s="196"/>
      <c r="AM529" s="200">
        <v>39072</v>
      </c>
      <c r="AN529" s="200">
        <v>39072</v>
      </c>
      <c r="AO529" s="200">
        <v>40057</v>
      </c>
      <c r="AP529" s="107">
        <v>40246</v>
      </c>
      <c r="AQ529" s="107">
        <v>42818</v>
      </c>
      <c r="AR529" s="107"/>
      <c r="AS529" s="107"/>
      <c r="AT529" s="107"/>
      <c r="AU529" s="107"/>
      <c r="AV529" s="203" t="s">
        <v>70</v>
      </c>
      <c r="AW529" s="204" t="s">
        <v>70</v>
      </c>
      <c r="AX529" s="107"/>
      <c r="AY529" s="107">
        <v>37155</v>
      </c>
      <c r="AZ529" s="107">
        <v>44684</v>
      </c>
      <c r="BA529" s="107">
        <v>45345</v>
      </c>
      <c r="BB529" s="107"/>
      <c r="BC529" s="107"/>
      <c r="BD529" s="107"/>
      <c r="BE529" s="107"/>
      <c r="BF529" s="107"/>
      <c r="BG529" s="321"/>
      <c r="BH529" s="285" t="s">
        <v>1613</v>
      </c>
    </row>
    <row r="530" spans="1:60" s="61" customFormat="1" ht="20.100000000000001" customHeight="1">
      <c r="A530" s="195">
        <v>525</v>
      </c>
      <c r="B530" s="196" t="s">
        <v>1286</v>
      </c>
      <c r="C530" s="65" t="s">
        <v>67</v>
      </c>
      <c r="D530" s="65" t="s">
        <v>73</v>
      </c>
      <c r="E530" s="219" t="s">
        <v>1305</v>
      </c>
      <c r="F530" s="65" t="s">
        <v>1306</v>
      </c>
      <c r="G530" s="110">
        <v>33263.1</v>
      </c>
      <c r="H530" s="196">
        <v>1985</v>
      </c>
      <c r="I530" s="110">
        <v>45</v>
      </c>
      <c r="J530" s="110">
        <f t="shared" si="68"/>
        <v>534</v>
      </c>
      <c r="K530" s="110"/>
      <c r="L530" s="110">
        <v>416</v>
      </c>
      <c r="M530" s="110">
        <v>118</v>
      </c>
      <c r="N530" s="110"/>
      <c r="O530" s="110"/>
      <c r="P530" s="197">
        <f t="shared" si="71"/>
        <v>834</v>
      </c>
      <c r="Q530" s="197">
        <v>489</v>
      </c>
      <c r="R530" s="197">
        <v>270</v>
      </c>
      <c r="S530" s="197">
        <v>75</v>
      </c>
      <c r="T530" s="197">
        <f t="shared" si="69"/>
        <v>834</v>
      </c>
      <c r="U530" s="110">
        <f t="shared" si="72"/>
        <v>759</v>
      </c>
      <c r="V530" s="110"/>
      <c r="W530" s="110">
        <v>374</v>
      </c>
      <c r="X530" s="110">
        <v>385</v>
      </c>
      <c r="Y530" s="110"/>
      <c r="Z530" s="110"/>
      <c r="AA530" s="110">
        <f>SUM(AB530:AD530)</f>
        <v>75</v>
      </c>
      <c r="AB530" s="110"/>
      <c r="AC530" s="110">
        <v>75</v>
      </c>
      <c r="AD530" s="110"/>
      <c r="AE530" s="110">
        <f t="shared" si="70"/>
        <v>300</v>
      </c>
      <c r="AF530" s="198">
        <v>1.23</v>
      </c>
      <c r="AG530" s="198">
        <v>2.8252000000000002</v>
      </c>
      <c r="AH530" s="199">
        <v>541</v>
      </c>
      <c r="AI530" s="199">
        <v>489</v>
      </c>
      <c r="AJ530" s="196" t="s">
        <v>92</v>
      </c>
      <c r="AK530" s="196">
        <v>2007</v>
      </c>
      <c r="AL530" s="196"/>
      <c r="AM530" s="200">
        <v>39072</v>
      </c>
      <c r="AN530" s="200"/>
      <c r="AO530" s="107"/>
      <c r="AP530" s="107">
        <v>39321</v>
      </c>
      <c r="AQ530" s="107">
        <v>43455</v>
      </c>
      <c r="AR530" s="107">
        <v>37984</v>
      </c>
      <c r="AS530" s="107">
        <v>37769</v>
      </c>
      <c r="AT530" s="107"/>
      <c r="AU530" s="107">
        <v>37929</v>
      </c>
      <c r="AV530" s="203" t="s">
        <v>70</v>
      </c>
      <c r="AW530" s="204" t="s">
        <v>70</v>
      </c>
      <c r="AX530" s="107"/>
      <c r="AY530" s="107">
        <v>39325</v>
      </c>
      <c r="AZ530" s="107">
        <v>39521</v>
      </c>
      <c r="BA530" s="107">
        <v>43230</v>
      </c>
      <c r="BB530" s="107">
        <v>43880</v>
      </c>
      <c r="BC530" s="107">
        <v>44120</v>
      </c>
      <c r="BD530" s="107"/>
      <c r="BE530" s="227">
        <v>45545</v>
      </c>
      <c r="BF530" s="227"/>
      <c r="BG530" s="334"/>
      <c r="BH530" s="285" t="s">
        <v>1613</v>
      </c>
    </row>
    <row r="531" spans="1:60" s="61" customFormat="1" ht="20.100000000000001" customHeight="1">
      <c r="A531" s="195">
        <v>526</v>
      </c>
      <c r="B531" s="196" t="s">
        <v>1286</v>
      </c>
      <c r="C531" s="65" t="s">
        <v>68</v>
      </c>
      <c r="D531" s="65" t="s">
        <v>73</v>
      </c>
      <c r="E531" s="65" t="s">
        <v>1307</v>
      </c>
      <c r="F531" s="65" t="s">
        <v>1308</v>
      </c>
      <c r="G531" s="110">
        <v>23728</v>
      </c>
      <c r="H531" s="196">
        <v>1989</v>
      </c>
      <c r="I531" s="110">
        <v>13</v>
      </c>
      <c r="J531" s="110">
        <f t="shared" si="68"/>
        <v>33</v>
      </c>
      <c r="K531" s="110">
        <v>2</v>
      </c>
      <c r="L531" s="110">
        <v>12</v>
      </c>
      <c r="M531" s="110">
        <v>15</v>
      </c>
      <c r="N531" s="110">
        <v>4</v>
      </c>
      <c r="O531" s="110"/>
      <c r="P531" s="197">
        <f t="shared" si="71"/>
        <v>589</v>
      </c>
      <c r="Q531" s="197">
        <v>393</v>
      </c>
      <c r="R531" s="197">
        <v>178</v>
      </c>
      <c r="S531" s="197">
        <v>18</v>
      </c>
      <c r="T531" s="197">
        <f t="shared" si="69"/>
        <v>589</v>
      </c>
      <c r="U531" s="110">
        <f t="shared" si="72"/>
        <v>571</v>
      </c>
      <c r="V531" s="110"/>
      <c r="W531" s="110">
        <v>141</v>
      </c>
      <c r="X531" s="110">
        <v>398</v>
      </c>
      <c r="Y531" s="110">
        <v>32</v>
      </c>
      <c r="Z531" s="110"/>
      <c r="AA531" s="110">
        <f>SUM(AB531:AD531)</f>
        <v>18</v>
      </c>
      <c r="AB531" s="110"/>
      <c r="AC531" s="110">
        <v>18</v>
      </c>
      <c r="AD531" s="110"/>
      <c r="AE531" s="110">
        <f t="shared" si="70"/>
        <v>556</v>
      </c>
      <c r="AF531" s="198">
        <v>0.95</v>
      </c>
      <c r="AG531" s="198">
        <v>2.5</v>
      </c>
      <c r="AH531" s="199">
        <v>393</v>
      </c>
      <c r="AI531" s="199">
        <v>393</v>
      </c>
      <c r="AJ531" s="196" t="s">
        <v>92</v>
      </c>
      <c r="AK531" s="196">
        <v>2007</v>
      </c>
      <c r="AL531" s="196">
        <v>2012</v>
      </c>
      <c r="AM531" s="200">
        <v>39072</v>
      </c>
      <c r="AN531" s="200"/>
      <c r="AO531" s="107"/>
      <c r="AP531" s="107">
        <v>39377</v>
      </c>
      <c r="AQ531" s="107"/>
      <c r="AR531" s="107"/>
      <c r="AS531" s="107"/>
      <c r="AT531" s="107"/>
      <c r="AU531" s="107">
        <v>37802</v>
      </c>
      <c r="AV531" s="203" t="s">
        <v>70</v>
      </c>
      <c r="AW531" s="204" t="s">
        <v>70</v>
      </c>
      <c r="AX531" s="107"/>
      <c r="AY531" s="107">
        <v>37802</v>
      </c>
      <c r="AZ531" s="107">
        <v>39813</v>
      </c>
      <c r="BA531" s="107">
        <v>40178</v>
      </c>
      <c r="BB531" s="107">
        <v>40606</v>
      </c>
      <c r="BC531" s="107">
        <v>41403</v>
      </c>
      <c r="BD531" s="107">
        <v>41488</v>
      </c>
      <c r="BE531" s="107">
        <v>41831</v>
      </c>
      <c r="BF531" s="107"/>
      <c r="BG531" s="321"/>
      <c r="BH531" s="285" t="s">
        <v>1613</v>
      </c>
    </row>
    <row r="532" spans="1:60" s="61" customFormat="1" ht="20.100000000000001" customHeight="1">
      <c r="A532" s="195">
        <v>527</v>
      </c>
      <c r="B532" s="196" t="s">
        <v>1286</v>
      </c>
      <c r="C532" s="65" t="s">
        <v>68</v>
      </c>
      <c r="D532" s="65" t="s">
        <v>85</v>
      </c>
      <c r="E532" s="65" t="s">
        <v>1309</v>
      </c>
      <c r="F532" s="65" t="s">
        <v>1310</v>
      </c>
      <c r="G532" s="110">
        <v>6986</v>
      </c>
      <c r="H532" s="196">
        <v>1987</v>
      </c>
      <c r="I532" s="110">
        <v>21</v>
      </c>
      <c r="J532" s="110">
        <f t="shared" si="68"/>
        <v>33</v>
      </c>
      <c r="K532" s="110">
        <v>2</v>
      </c>
      <c r="L532" s="110">
        <v>12</v>
      </c>
      <c r="M532" s="110">
        <v>15</v>
      </c>
      <c r="N532" s="110">
        <v>4</v>
      </c>
      <c r="O532" s="110"/>
      <c r="P532" s="197">
        <f t="shared" si="71"/>
        <v>340</v>
      </c>
      <c r="Q532" s="197">
        <v>50</v>
      </c>
      <c r="R532" s="197">
        <v>290</v>
      </c>
      <c r="S532" s="197"/>
      <c r="T532" s="197">
        <f t="shared" si="69"/>
        <v>340</v>
      </c>
      <c r="U532" s="110">
        <f t="shared" si="72"/>
        <v>340</v>
      </c>
      <c r="V532" s="110"/>
      <c r="W532" s="110">
        <v>136</v>
      </c>
      <c r="X532" s="110">
        <v>102</v>
      </c>
      <c r="Y532" s="110">
        <v>68</v>
      </c>
      <c r="Z532" s="110">
        <v>34</v>
      </c>
      <c r="AA532" s="110"/>
      <c r="AB532" s="110"/>
      <c r="AC532" s="110"/>
      <c r="AD532" s="110"/>
      <c r="AE532" s="110">
        <f t="shared" si="70"/>
        <v>307</v>
      </c>
      <c r="AF532" s="198">
        <v>1.26</v>
      </c>
      <c r="AG532" s="198">
        <v>6.69</v>
      </c>
      <c r="AH532" s="199">
        <v>53</v>
      </c>
      <c r="AI532" s="199">
        <v>50</v>
      </c>
      <c r="AJ532" s="196" t="s">
        <v>92</v>
      </c>
      <c r="AK532" s="196">
        <v>2007</v>
      </c>
      <c r="AL532" s="196">
        <v>2012</v>
      </c>
      <c r="AM532" s="200" t="s">
        <v>563</v>
      </c>
      <c r="AN532" s="200"/>
      <c r="AO532" s="200"/>
      <c r="AP532" s="107">
        <v>38621</v>
      </c>
      <c r="AQ532" s="107">
        <v>39307</v>
      </c>
      <c r="AR532" s="107">
        <v>38691</v>
      </c>
      <c r="AS532" s="107"/>
      <c r="AT532" s="107"/>
      <c r="AU532" s="107"/>
      <c r="AV532" s="203" t="s">
        <v>70</v>
      </c>
      <c r="AW532" s="204" t="s">
        <v>70</v>
      </c>
      <c r="AX532" s="107"/>
      <c r="AY532" s="107">
        <v>38727</v>
      </c>
      <c r="AZ532" s="107">
        <v>39346</v>
      </c>
      <c r="BA532" s="107">
        <v>39443</v>
      </c>
      <c r="BB532" s="107">
        <v>40563</v>
      </c>
      <c r="BC532" s="107">
        <v>40661</v>
      </c>
      <c r="BD532" s="107">
        <v>41698</v>
      </c>
      <c r="BE532" s="107">
        <v>41712</v>
      </c>
      <c r="BF532" s="107"/>
      <c r="BG532" s="321"/>
      <c r="BH532" s="285" t="s">
        <v>1613</v>
      </c>
    </row>
    <row r="533" spans="1:60" s="61" customFormat="1" ht="20.100000000000001" customHeight="1">
      <c r="A533" s="195">
        <v>528</v>
      </c>
      <c r="B533" s="196" t="s">
        <v>1286</v>
      </c>
      <c r="C533" s="65" t="s">
        <v>69</v>
      </c>
      <c r="D533" s="65" t="s">
        <v>73</v>
      </c>
      <c r="E533" s="65" t="s">
        <v>1311</v>
      </c>
      <c r="F533" s="65" t="s">
        <v>1312</v>
      </c>
      <c r="G533" s="110">
        <v>77755</v>
      </c>
      <c r="H533" s="196">
        <v>1986</v>
      </c>
      <c r="I533" s="110">
        <v>37</v>
      </c>
      <c r="J533" s="110">
        <f t="shared" si="68"/>
        <v>1260</v>
      </c>
      <c r="K533" s="110"/>
      <c r="L533" s="110">
        <v>800</v>
      </c>
      <c r="M533" s="110">
        <v>460</v>
      </c>
      <c r="N533" s="110"/>
      <c r="O533" s="110"/>
      <c r="P533" s="197">
        <f t="shared" si="71"/>
        <v>1651</v>
      </c>
      <c r="Q533" s="197">
        <v>1252</v>
      </c>
      <c r="R533" s="197">
        <v>111</v>
      </c>
      <c r="S533" s="197">
        <v>288</v>
      </c>
      <c r="T533" s="197">
        <f t="shared" si="69"/>
        <v>1651</v>
      </c>
      <c r="U533" s="110">
        <f t="shared" si="72"/>
        <v>1363</v>
      </c>
      <c r="V533" s="110"/>
      <c r="W533" s="110">
        <v>117</v>
      </c>
      <c r="X533" s="110">
        <v>685</v>
      </c>
      <c r="Y533" s="110">
        <v>476</v>
      </c>
      <c r="Z533" s="110">
        <v>85</v>
      </c>
      <c r="AA533" s="110">
        <f>SUM(AB533:AD533)</f>
        <v>288</v>
      </c>
      <c r="AB533" s="110"/>
      <c r="AC533" s="110">
        <v>223</v>
      </c>
      <c r="AD533" s="110">
        <v>65</v>
      </c>
      <c r="AE533" s="110">
        <f t="shared" si="70"/>
        <v>391</v>
      </c>
      <c r="AF533" s="198">
        <v>0.77</v>
      </c>
      <c r="AG533" s="198">
        <v>2.66</v>
      </c>
      <c r="AH533" s="199">
        <v>1260</v>
      </c>
      <c r="AI533" s="199">
        <v>1252</v>
      </c>
      <c r="AJ533" s="196" t="s">
        <v>92</v>
      </c>
      <c r="AK533" s="196">
        <v>2007</v>
      </c>
      <c r="AL533" s="196">
        <v>2010</v>
      </c>
      <c r="AM533" s="200" t="s">
        <v>563</v>
      </c>
      <c r="AN533" s="200"/>
      <c r="AO533" s="200"/>
      <c r="AP533" s="107">
        <v>38733</v>
      </c>
      <c r="AQ533" s="107">
        <v>38859</v>
      </c>
      <c r="AR533" s="107"/>
      <c r="AS533" s="107"/>
      <c r="AT533" s="107"/>
      <c r="AU533" s="107">
        <v>37704</v>
      </c>
      <c r="AV533" s="203" t="s">
        <v>70</v>
      </c>
      <c r="AW533" s="204" t="s">
        <v>70</v>
      </c>
      <c r="AX533" s="107"/>
      <c r="AY533" s="107">
        <v>37802</v>
      </c>
      <c r="AZ533" s="107">
        <v>38861</v>
      </c>
      <c r="BA533" s="107">
        <v>39013</v>
      </c>
      <c r="BB533" s="107">
        <v>39195</v>
      </c>
      <c r="BC533" s="107">
        <v>40134</v>
      </c>
      <c r="BD533" s="107">
        <v>40116</v>
      </c>
      <c r="BE533" s="107">
        <v>40267</v>
      </c>
      <c r="BF533" s="107">
        <v>41817</v>
      </c>
      <c r="BG533" s="321">
        <v>43084</v>
      </c>
      <c r="BH533" s="285" t="s">
        <v>1613</v>
      </c>
    </row>
    <row r="534" spans="1:60" s="61" customFormat="1" ht="20.100000000000001" customHeight="1">
      <c r="A534" s="195">
        <v>529</v>
      </c>
      <c r="B534" s="196" t="s">
        <v>1286</v>
      </c>
      <c r="C534" s="65" t="s">
        <v>69</v>
      </c>
      <c r="D534" s="65" t="s">
        <v>73</v>
      </c>
      <c r="E534" s="65" t="s">
        <v>1313</v>
      </c>
      <c r="F534" s="65" t="s">
        <v>1314</v>
      </c>
      <c r="G534" s="110">
        <v>66998</v>
      </c>
      <c r="H534" s="196">
        <v>1986</v>
      </c>
      <c r="I534" s="110">
        <v>35</v>
      </c>
      <c r="J534" s="110">
        <f t="shared" si="68"/>
        <v>1050</v>
      </c>
      <c r="K534" s="110"/>
      <c r="L534" s="110">
        <v>846</v>
      </c>
      <c r="M534" s="110">
        <v>204</v>
      </c>
      <c r="N534" s="110"/>
      <c r="O534" s="110"/>
      <c r="P534" s="197">
        <f t="shared" si="71"/>
        <v>1486</v>
      </c>
      <c r="Q534" s="197">
        <v>1047</v>
      </c>
      <c r="R534" s="197">
        <v>289</v>
      </c>
      <c r="S534" s="197">
        <v>150</v>
      </c>
      <c r="T534" s="197">
        <f t="shared" si="69"/>
        <v>1486</v>
      </c>
      <c r="U534" s="110">
        <f t="shared" si="72"/>
        <v>1336</v>
      </c>
      <c r="V534" s="110"/>
      <c r="W534" s="110">
        <v>164</v>
      </c>
      <c r="X534" s="110">
        <v>616</v>
      </c>
      <c r="Y534" s="110">
        <v>376</v>
      </c>
      <c r="Z534" s="110">
        <v>180</v>
      </c>
      <c r="AA534" s="110">
        <f>SUM(AB534:AD534)</f>
        <v>150</v>
      </c>
      <c r="AB534" s="110"/>
      <c r="AC534" s="110">
        <v>150</v>
      </c>
      <c r="AD534" s="110"/>
      <c r="AE534" s="110">
        <f t="shared" si="70"/>
        <v>436</v>
      </c>
      <c r="AF534" s="198">
        <v>0.8</v>
      </c>
      <c r="AG534" s="198">
        <v>2.77</v>
      </c>
      <c r="AH534" s="199">
        <v>1047</v>
      </c>
      <c r="AI534" s="199">
        <v>1047</v>
      </c>
      <c r="AJ534" s="196" t="s">
        <v>92</v>
      </c>
      <c r="AK534" s="196">
        <v>2005</v>
      </c>
      <c r="AL534" s="196">
        <v>2009</v>
      </c>
      <c r="AM534" s="200" t="s">
        <v>563</v>
      </c>
      <c r="AN534" s="200"/>
      <c r="AO534" s="200"/>
      <c r="AP534" s="107">
        <v>38887</v>
      </c>
      <c r="AQ534" s="107">
        <v>39443</v>
      </c>
      <c r="AR534" s="107"/>
      <c r="AS534" s="107"/>
      <c r="AT534" s="107"/>
      <c r="AU534" s="107">
        <v>37680</v>
      </c>
      <c r="AV534" s="203" t="s">
        <v>70</v>
      </c>
      <c r="AW534" s="204" t="s">
        <v>70</v>
      </c>
      <c r="AX534" s="107"/>
      <c r="AY534" s="107">
        <v>37802</v>
      </c>
      <c r="AZ534" s="107">
        <v>38888</v>
      </c>
      <c r="BA534" s="107">
        <v>39002</v>
      </c>
      <c r="BB534" s="107">
        <v>39202</v>
      </c>
      <c r="BC534" s="107">
        <v>40142</v>
      </c>
      <c r="BD534" s="107">
        <v>40149</v>
      </c>
      <c r="BE534" s="107">
        <v>40347</v>
      </c>
      <c r="BF534" s="107">
        <v>41330</v>
      </c>
      <c r="BG534" s="321">
        <v>43528</v>
      </c>
      <c r="BH534" s="285" t="s">
        <v>1613</v>
      </c>
    </row>
    <row r="535" spans="1:60" s="61" customFormat="1" ht="20.100000000000001" customHeight="1">
      <c r="A535" s="195">
        <v>530</v>
      </c>
      <c r="B535" s="196" t="s">
        <v>1315</v>
      </c>
      <c r="C535" s="65" t="s">
        <v>67</v>
      </c>
      <c r="D535" s="65" t="s">
        <v>85</v>
      </c>
      <c r="E535" s="65" t="s">
        <v>1316</v>
      </c>
      <c r="F535" s="65" t="s">
        <v>1317</v>
      </c>
      <c r="G535" s="110">
        <v>84370</v>
      </c>
      <c r="H535" s="196" t="s">
        <v>1318</v>
      </c>
      <c r="I535" s="110">
        <v>184</v>
      </c>
      <c r="J535" s="110">
        <f t="shared" si="68"/>
        <v>477</v>
      </c>
      <c r="K535" s="110"/>
      <c r="L535" s="110"/>
      <c r="M535" s="110"/>
      <c r="N535" s="110">
        <v>477</v>
      </c>
      <c r="O535" s="110"/>
      <c r="P535" s="197">
        <f t="shared" si="71"/>
        <v>1096</v>
      </c>
      <c r="Q535" s="197">
        <v>217</v>
      </c>
      <c r="R535" s="197">
        <v>637</v>
      </c>
      <c r="S535" s="197">
        <v>242</v>
      </c>
      <c r="T535" s="197">
        <f t="shared" si="69"/>
        <v>1106</v>
      </c>
      <c r="U535" s="110">
        <f t="shared" si="72"/>
        <v>854</v>
      </c>
      <c r="V535" s="110"/>
      <c r="W535" s="110">
        <v>322</v>
      </c>
      <c r="X535" s="110">
        <v>526</v>
      </c>
      <c r="Y535" s="110">
        <v>6</v>
      </c>
      <c r="Z535" s="110"/>
      <c r="AA535" s="110">
        <v>252</v>
      </c>
      <c r="AB535" s="110">
        <v>52</v>
      </c>
      <c r="AC535" s="110">
        <v>190</v>
      </c>
      <c r="AD535" s="110"/>
      <c r="AE535" s="110">
        <f t="shared" si="70"/>
        <v>629</v>
      </c>
      <c r="AF535" s="198">
        <v>0.43</v>
      </c>
      <c r="AG535" s="198">
        <v>1.6</v>
      </c>
      <c r="AH535" s="199">
        <v>300</v>
      </c>
      <c r="AI535" s="199">
        <v>203</v>
      </c>
      <c r="AJ535" s="196" t="s">
        <v>92</v>
      </c>
      <c r="AK535" s="196">
        <v>2013</v>
      </c>
      <c r="AL535" s="196">
        <v>2029</v>
      </c>
      <c r="AM535" s="200" t="s">
        <v>914</v>
      </c>
      <c r="AN535" s="200" t="s">
        <v>914</v>
      </c>
      <c r="AO535" s="200">
        <v>40451</v>
      </c>
      <c r="AP535" s="107">
        <v>41341</v>
      </c>
      <c r="AQ535" s="107">
        <v>43738</v>
      </c>
      <c r="AR535" s="107">
        <v>39428</v>
      </c>
      <c r="AS535" s="107"/>
      <c r="AT535" s="107"/>
      <c r="AU535" s="107"/>
      <c r="AV535" s="107" t="s">
        <v>70</v>
      </c>
      <c r="AW535" s="196" t="s">
        <v>70</v>
      </c>
      <c r="AX535" s="107"/>
      <c r="AY535" s="107">
        <v>42396</v>
      </c>
      <c r="AZ535" s="107">
        <v>43878</v>
      </c>
      <c r="BA535" s="107">
        <v>45145</v>
      </c>
      <c r="BB535" s="107">
        <v>45901</v>
      </c>
      <c r="BC535" s="107">
        <v>45919</v>
      </c>
      <c r="BD535" s="107"/>
      <c r="BE535" s="107"/>
      <c r="BF535" s="107"/>
      <c r="BG535" s="321"/>
      <c r="BH535" s="285" t="s">
        <v>1614</v>
      </c>
    </row>
    <row r="536" spans="1:60" s="61" customFormat="1" ht="20.100000000000001" customHeight="1">
      <c r="A536" s="195">
        <v>531</v>
      </c>
      <c r="B536" s="196" t="s">
        <v>1315</v>
      </c>
      <c r="C536" s="65" t="s">
        <v>64</v>
      </c>
      <c r="D536" s="65" t="s">
        <v>85</v>
      </c>
      <c r="E536" s="65" t="s">
        <v>1319</v>
      </c>
      <c r="F536" s="65" t="s">
        <v>1320</v>
      </c>
      <c r="G536" s="110">
        <v>342780.4</v>
      </c>
      <c r="H536" s="196" t="s">
        <v>1321</v>
      </c>
      <c r="I536" s="110">
        <v>1208</v>
      </c>
      <c r="J536" s="110">
        <f t="shared" si="68"/>
        <v>1783</v>
      </c>
      <c r="K536" s="110"/>
      <c r="L536" s="110"/>
      <c r="M536" s="110"/>
      <c r="N536" s="110">
        <v>1783</v>
      </c>
      <c r="O536" s="110"/>
      <c r="P536" s="197">
        <f t="shared" si="71"/>
        <v>0</v>
      </c>
      <c r="Q536" s="197">
        <v>0</v>
      </c>
      <c r="R536" s="197">
        <v>0</v>
      </c>
      <c r="S536" s="197">
        <v>0</v>
      </c>
      <c r="T536" s="197">
        <f t="shared" si="69"/>
        <v>0</v>
      </c>
      <c r="U536" s="110">
        <f t="shared" si="72"/>
        <v>0</v>
      </c>
      <c r="V536" s="110">
        <v>0</v>
      </c>
      <c r="W536" s="110">
        <v>0</v>
      </c>
      <c r="X536" s="110">
        <v>0</v>
      </c>
      <c r="Y536" s="110"/>
      <c r="Z536" s="110"/>
      <c r="AA536" s="110">
        <f>SUM(AB536:AD536)</f>
        <v>0</v>
      </c>
      <c r="AB536" s="110">
        <v>0</v>
      </c>
      <c r="AC536" s="110"/>
      <c r="AD536" s="110"/>
      <c r="AE536" s="110">
        <f t="shared" si="70"/>
        <v>-1783</v>
      </c>
      <c r="AF536" s="198">
        <v>1</v>
      </c>
      <c r="AG536" s="240">
        <v>2.4994999999999998</v>
      </c>
      <c r="AH536" s="199">
        <v>4280</v>
      </c>
      <c r="AI536" s="199">
        <v>4264</v>
      </c>
      <c r="AJ536" s="196" t="s">
        <v>92</v>
      </c>
      <c r="AK536" s="196">
        <v>2021</v>
      </c>
      <c r="AL536" s="196">
        <v>2030</v>
      </c>
      <c r="AM536" s="200" t="s">
        <v>914</v>
      </c>
      <c r="AN536" s="200"/>
      <c r="AO536" s="200"/>
      <c r="AP536" s="107">
        <v>45121</v>
      </c>
      <c r="AQ536" s="107"/>
      <c r="AR536" s="107">
        <v>45162</v>
      </c>
      <c r="AS536" s="107"/>
      <c r="AT536" s="107"/>
      <c r="AU536" s="107"/>
      <c r="AV536" s="107" t="s">
        <v>70</v>
      </c>
      <c r="AW536" s="196" t="s">
        <v>70</v>
      </c>
      <c r="AX536" s="107"/>
      <c r="AY536" s="107">
        <v>45462</v>
      </c>
      <c r="AZ536" s="107"/>
      <c r="BA536" s="107"/>
      <c r="BB536" s="107"/>
      <c r="BC536" s="107"/>
      <c r="BD536" s="107"/>
      <c r="BE536" s="107"/>
      <c r="BF536" s="107"/>
      <c r="BG536" s="321"/>
      <c r="BH536" s="285" t="s">
        <v>1615</v>
      </c>
    </row>
    <row r="537" spans="1:60" s="61" customFormat="1" ht="20.100000000000001" customHeight="1">
      <c r="A537" s="195">
        <v>532</v>
      </c>
      <c r="B537" s="196" t="s">
        <v>1315</v>
      </c>
      <c r="C537" s="65" t="s">
        <v>88</v>
      </c>
      <c r="D537" s="65" t="s">
        <v>73</v>
      </c>
      <c r="E537" s="65" t="s">
        <v>1322</v>
      </c>
      <c r="F537" s="65" t="s">
        <v>1323</v>
      </c>
      <c r="G537" s="110">
        <v>31266.7</v>
      </c>
      <c r="H537" s="196">
        <v>1991</v>
      </c>
      <c r="I537" s="110">
        <v>16</v>
      </c>
      <c r="J537" s="110">
        <v>490</v>
      </c>
      <c r="K537" s="110"/>
      <c r="L537" s="110"/>
      <c r="M537" s="110"/>
      <c r="N537" s="110"/>
      <c r="O537" s="110"/>
      <c r="P537" s="197"/>
      <c r="Q537" s="197"/>
      <c r="R537" s="197"/>
      <c r="S537" s="197"/>
      <c r="T537" s="197">
        <f t="shared" si="69"/>
        <v>0</v>
      </c>
      <c r="U537" s="110"/>
      <c r="V537" s="110"/>
      <c r="W537" s="110"/>
      <c r="X537" s="110"/>
      <c r="Y537" s="110"/>
      <c r="Z537" s="110"/>
      <c r="AA537" s="110"/>
      <c r="AB537" s="110"/>
      <c r="AC537" s="110"/>
      <c r="AD537" s="110"/>
      <c r="AE537" s="110">
        <f t="shared" si="70"/>
        <v>-490</v>
      </c>
      <c r="AF537" s="196"/>
      <c r="AG537" s="196"/>
      <c r="AH537" s="196"/>
      <c r="AI537" s="196"/>
      <c r="AJ537" s="196"/>
      <c r="AK537" s="196"/>
      <c r="AL537" s="196"/>
      <c r="AM537" s="200" t="s">
        <v>914</v>
      </c>
      <c r="AN537" s="196"/>
      <c r="AO537" s="196"/>
      <c r="AP537" s="196"/>
      <c r="AQ537" s="196"/>
      <c r="AR537" s="107">
        <v>45877</v>
      </c>
      <c r="AS537" s="196"/>
      <c r="AT537" s="196"/>
      <c r="AU537" s="107">
        <v>45573</v>
      </c>
      <c r="AV537" s="196" t="s">
        <v>82</v>
      </c>
      <c r="AW537" s="196"/>
      <c r="AX537" s="196"/>
      <c r="AY537" s="107"/>
      <c r="AZ537" s="196"/>
      <c r="BA537" s="196"/>
      <c r="BB537" s="196"/>
      <c r="BC537" s="196"/>
      <c r="BD537" s="196"/>
      <c r="BE537" s="196"/>
      <c r="BF537" s="196"/>
      <c r="BG537" s="331"/>
      <c r="BH537" s="285" t="s">
        <v>1465</v>
      </c>
    </row>
    <row r="538" spans="1:60" s="61" customFormat="1" ht="20.100000000000001" customHeight="1">
      <c r="A538" s="195">
        <v>533</v>
      </c>
      <c r="B538" s="196" t="s">
        <v>1315</v>
      </c>
      <c r="C538" s="65" t="s">
        <v>68</v>
      </c>
      <c r="D538" s="65" t="s">
        <v>85</v>
      </c>
      <c r="E538" s="65" t="s">
        <v>1324</v>
      </c>
      <c r="F538" s="65" t="s">
        <v>1325</v>
      </c>
      <c r="G538" s="110">
        <v>33792.5</v>
      </c>
      <c r="H538" s="196" t="s">
        <v>1326</v>
      </c>
      <c r="I538" s="110">
        <v>135</v>
      </c>
      <c r="J538" s="110">
        <f t="shared" ref="J538:J547" si="73">SUM(K538:O538)</f>
        <v>375</v>
      </c>
      <c r="K538" s="110"/>
      <c r="L538" s="110"/>
      <c r="M538" s="110"/>
      <c r="N538" s="110">
        <v>375</v>
      </c>
      <c r="O538" s="110"/>
      <c r="P538" s="197">
        <f t="shared" ref="P538:P547" si="74">SUM(Q538:S538)</f>
        <v>632</v>
      </c>
      <c r="Q538" s="197">
        <v>261</v>
      </c>
      <c r="R538" s="197">
        <v>339</v>
      </c>
      <c r="S538" s="197">
        <v>32</v>
      </c>
      <c r="T538" s="197">
        <f t="shared" si="69"/>
        <v>632</v>
      </c>
      <c r="U538" s="110">
        <f t="shared" ref="U538:U547" si="75">SUM(V538:Z538)</f>
        <v>600</v>
      </c>
      <c r="V538" s="110">
        <v>78</v>
      </c>
      <c r="W538" s="110">
        <v>306</v>
      </c>
      <c r="X538" s="110">
        <v>216</v>
      </c>
      <c r="Y538" s="110"/>
      <c r="Z538" s="110"/>
      <c r="AA538" s="110">
        <f>SUM(AB538:AD538)</f>
        <v>32</v>
      </c>
      <c r="AB538" s="110">
        <v>32</v>
      </c>
      <c r="AC538" s="110"/>
      <c r="AD538" s="110"/>
      <c r="AE538" s="110">
        <f t="shared" si="70"/>
        <v>257</v>
      </c>
      <c r="AF538" s="198">
        <v>1</v>
      </c>
      <c r="AG538" s="240">
        <v>2.3628</v>
      </c>
      <c r="AH538" s="199">
        <v>302</v>
      </c>
      <c r="AI538" s="199">
        <v>237</v>
      </c>
      <c r="AJ538" s="196" t="s">
        <v>92</v>
      </c>
      <c r="AK538" s="196">
        <v>2005</v>
      </c>
      <c r="AL538" s="196">
        <v>2021</v>
      </c>
      <c r="AM538" s="200" t="s">
        <v>914</v>
      </c>
      <c r="AN538" s="200"/>
      <c r="AO538" s="200"/>
      <c r="AP538" s="107">
        <v>39230</v>
      </c>
      <c r="AQ538" s="107">
        <v>43469</v>
      </c>
      <c r="AR538" s="107">
        <v>38670</v>
      </c>
      <c r="AS538" s="107"/>
      <c r="AT538" s="107"/>
      <c r="AU538" s="107"/>
      <c r="AV538" s="203" t="s">
        <v>70</v>
      </c>
      <c r="AW538" s="204" t="s">
        <v>70</v>
      </c>
      <c r="AX538" s="107"/>
      <c r="AY538" s="107">
        <v>39304</v>
      </c>
      <c r="AZ538" s="107">
        <v>39489</v>
      </c>
      <c r="BA538" s="107">
        <v>42311</v>
      </c>
      <c r="BB538" s="107">
        <v>43195</v>
      </c>
      <c r="BC538" s="107">
        <v>43208</v>
      </c>
      <c r="BD538" s="107">
        <v>44456</v>
      </c>
      <c r="BE538" s="107">
        <v>44970</v>
      </c>
      <c r="BF538" s="107"/>
      <c r="BG538" s="321"/>
      <c r="BH538" s="285" t="s">
        <v>1614</v>
      </c>
    </row>
    <row r="539" spans="1:60" s="61" customFormat="1" ht="20.100000000000001" customHeight="1">
      <c r="A539" s="195">
        <v>534</v>
      </c>
      <c r="B539" s="196" t="s">
        <v>1315</v>
      </c>
      <c r="C539" s="65" t="s">
        <v>137</v>
      </c>
      <c r="D539" s="65" t="s">
        <v>73</v>
      </c>
      <c r="E539" s="250" t="s">
        <v>1327</v>
      </c>
      <c r="F539" s="250" t="s">
        <v>1328</v>
      </c>
      <c r="G539" s="251">
        <v>32534.7</v>
      </c>
      <c r="H539" s="252">
        <v>1982</v>
      </c>
      <c r="I539" s="251">
        <v>143</v>
      </c>
      <c r="J539" s="251">
        <f t="shared" si="73"/>
        <v>305</v>
      </c>
      <c r="K539" s="251"/>
      <c r="L539" s="251"/>
      <c r="M539" s="251"/>
      <c r="N539" s="251">
        <v>305</v>
      </c>
      <c r="O539" s="251"/>
      <c r="P539" s="253">
        <f t="shared" si="74"/>
        <v>565</v>
      </c>
      <c r="Q539" s="253">
        <v>259</v>
      </c>
      <c r="R539" s="253">
        <v>271</v>
      </c>
      <c r="S539" s="253">
        <v>35</v>
      </c>
      <c r="T539" s="197">
        <f t="shared" si="69"/>
        <v>565</v>
      </c>
      <c r="U539" s="251">
        <f t="shared" si="75"/>
        <v>530</v>
      </c>
      <c r="V539" s="251"/>
      <c r="W539" s="251">
        <v>215</v>
      </c>
      <c r="X539" s="251">
        <v>315</v>
      </c>
      <c r="Y539" s="251"/>
      <c r="Z539" s="251"/>
      <c r="AA539" s="251">
        <f>SUM(AB539:AD539)</f>
        <v>35</v>
      </c>
      <c r="AB539" s="251"/>
      <c r="AC539" s="251">
        <v>35</v>
      </c>
      <c r="AD539" s="251"/>
      <c r="AE539" s="110">
        <f t="shared" si="70"/>
        <v>260</v>
      </c>
      <c r="AF539" s="254">
        <v>0.75</v>
      </c>
      <c r="AG539" s="255">
        <v>2.4984999999999999</v>
      </c>
      <c r="AH539" s="256">
        <v>291</v>
      </c>
      <c r="AI539" s="256">
        <v>259</v>
      </c>
      <c r="AJ539" s="252" t="s">
        <v>92</v>
      </c>
      <c r="AK539" s="252">
        <v>2004</v>
      </c>
      <c r="AL539" s="252">
        <v>2025</v>
      </c>
      <c r="AM539" s="257" t="s">
        <v>914</v>
      </c>
      <c r="AN539" s="257"/>
      <c r="AO539" s="257"/>
      <c r="AP539" s="258">
        <v>39293</v>
      </c>
      <c r="AQ539" s="258">
        <v>39650</v>
      </c>
      <c r="AR539" s="258">
        <v>38660</v>
      </c>
      <c r="AS539" s="258"/>
      <c r="AT539" s="258"/>
      <c r="AU539" s="258"/>
      <c r="AV539" s="259" t="s">
        <v>70</v>
      </c>
      <c r="AW539" s="260" t="s">
        <v>70</v>
      </c>
      <c r="AX539" s="258"/>
      <c r="AY539" s="258">
        <v>39443</v>
      </c>
      <c r="AZ539" s="258">
        <v>39806</v>
      </c>
      <c r="BA539" s="261">
        <v>43739</v>
      </c>
      <c r="BB539" s="261">
        <v>44582</v>
      </c>
      <c r="BC539" s="261">
        <v>44607</v>
      </c>
      <c r="BD539" s="261">
        <v>45776</v>
      </c>
      <c r="BE539" s="261">
        <v>45806</v>
      </c>
      <c r="BF539" s="261">
        <v>46188</v>
      </c>
      <c r="BG539" s="335"/>
      <c r="BH539" s="285" t="s">
        <v>1614</v>
      </c>
    </row>
    <row r="540" spans="1:60" s="61" customFormat="1" ht="20.100000000000001" customHeight="1">
      <c r="A540" s="195">
        <v>535</v>
      </c>
      <c r="B540" s="196" t="s">
        <v>1315</v>
      </c>
      <c r="C540" s="65" t="s">
        <v>69</v>
      </c>
      <c r="D540" s="65" t="s">
        <v>73</v>
      </c>
      <c r="E540" s="65" t="s">
        <v>1329</v>
      </c>
      <c r="F540" s="65" t="s">
        <v>1330</v>
      </c>
      <c r="G540" s="110">
        <v>20158.599999999999</v>
      </c>
      <c r="H540" s="196">
        <v>1982</v>
      </c>
      <c r="I540" s="110">
        <v>68</v>
      </c>
      <c r="J540" s="110">
        <f t="shared" si="73"/>
        <v>257</v>
      </c>
      <c r="K540" s="110"/>
      <c r="L540" s="110"/>
      <c r="M540" s="110"/>
      <c r="N540" s="110">
        <v>257</v>
      </c>
      <c r="O540" s="110"/>
      <c r="P540" s="197">
        <f t="shared" si="74"/>
        <v>410</v>
      </c>
      <c r="Q540" s="197">
        <v>196</v>
      </c>
      <c r="R540" s="197">
        <v>166</v>
      </c>
      <c r="S540" s="197">
        <v>48</v>
      </c>
      <c r="T540" s="197">
        <f t="shared" si="69"/>
        <v>410</v>
      </c>
      <c r="U540" s="110">
        <f t="shared" si="75"/>
        <v>362</v>
      </c>
      <c r="V540" s="110"/>
      <c r="W540" s="110">
        <v>228</v>
      </c>
      <c r="X540" s="110">
        <v>134</v>
      </c>
      <c r="Y540" s="110"/>
      <c r="Z540" s="110"/>
      <c r="AA540" s="110">
        <f>SUM(AB540:AD540)</f>
        <v>48</v>
      </c>
      <c r="AB540" s="110"/>
      <c r="AC540" s="110">
        <v>48</v>
      </c>
      <c r="AD540" s="110"/>
      <c r="AE540" s="110">
        <f t="shared" si="70"/>
        <v>153</v>
      </c>
      <c r="AF540" s="198">
        <v>0.7</v>
      </c>
      <c r="AG540" s="240">
        <v>2.4973999999999998</v>
      </c>
      <c r="AH540" s="199">
        <v>223</v>
      </c>
      <c r="AI540" s="199">
        <v>193</v>
      </c>
      <c r="AJ540" s="196" t="s">
        <v>92</v>
      </c>
      <c r="AK540" s="196">
        <v>2004</v>
      </c>
      <c r="AL540" s="196">
        <v>2021</v>
      </c>
      <c r="AM540" s="200" t="s">
        <v>914</v>
      </c>
      <c r="AN540" s="200" t="s">
        <v>914</v>
      </c>
      <c r="AO540" s="200">
        <v>38821</v>
      </c>
      <c r="AP540" s="107">
        <v>39293</v>
      </c>
      <c r="AQ540" s="107">
        <v>43388</v>
      </c>
      <c r="AR540" s="107">
        <v>38033</v>
      </c>
      <c r="AS540" s="107"/>
      <c r="AT540" s="107"/>
      <c r="AU540" s="107"/>
      <c r="AV540" s="203" t="s">
        <v>70</v>
      </c>
      <c r="AW540" s="204" t="s">
        <v>70</v>
      </c>
      <c r="AX540" s="107"/>
      <c r="AY540" s="107">
        <v>40794</v>
      </c>
      <c r="AZ540" s="107">
        <v>42404</v>
      </c>
      <c r="BA540" s="107">
        <v>42852</v>
      </c>
      <c r="BB540" s="107">
        <v>43556</v>
      </c>
      <c r="BC540" s="107">
        <v>43558</v>
      </c>
      <c r="BD540" s="108">
        <v>44377</v>
      </c>
      <c r="BE540" s="107">
        <v>44455</v>
      </c>
      <c r="BF540" s="108">
        <v>45649</v>
      </c>
      <c r="BG540" s="321">
        <v>45771</v>
      </c>
      <c r="BH540" s="285" t="s">
        <v>1616</v>
      </c>
    </row>
    <row r="541" spans="1:60" s="61" customFormat="1" ht="20.100000000000001" customHeight="1">
      <c r="A541" s="195">
        <v>536</v>
      </c>
      <c r="B541" s="196" t="s">
        <v>1331</v>
      </c>
      <c r="C541" s="65" t="s">
        <v>66</v>
      </c>
      <c r="D541" s="65" t="s">
        <v>85</v>
      </c>
      <c r="E541" s="65" t="s">
        <v>1332</v>
      </c>
      <c r="F541" s="65" t="s">
        <v>1333</v>
      </c>
      <c r="G541" s="110">
        <v>25297</v>
      </c>
      <c r="H541" s="196">
        <v>1990</v>
      </c>
      <c r="I541" s="110">
        <v>24</v>
      </c>
      <c r="J541" s="110">
        <f t="shared" si="73"/>
        <v>394</v>
      </c>
      <c r="K541" s="110">
        <v>394</v>
      </c>
      <c r="L541" s="110"/>
      <c r="M541" s="110"/>
      <c r="N541" s="110"/>
      <c r="O541" s="110"/>
      <c r="P541" s="197">
        <f t="shared" si="74"/>
        <v>668</v>
      </c>
      <c r="Q541" s="197">
        <v>384</v>
      </c>
      <c r="R541" s="197">
        <v>250</v>
      </c>
      <c r="S541" s="197">
        <v>34</v>
      </c>
      <c r="T541" s="197">
        <f t="shared" si="69"/>
        <v>668</v>
      </c>
      <c r="U541" s="110">
        <f t="shared" si="75"/>
        <v>634</v>
      </c>
      <c r="V541" s="110">
        <v>67</v>
      </c>
      <c r="W541" s="110">
        <v>349</v>
      </c>
      <c r="X541" s="110">
        <v>218</v>
      </c>
      <c r="Y541" s="110"/>
      <c r="Z541" s="110"/>
      <c r="AA541" s="110">
        <v>34</v>
      </c>
      <c r="AB541" s="110">
        <v>34</v>
      </c>
      <c r="AC541" s="110"/>
      <c r="AD541" s="110"/>
      <c r="AE541" s="110">
        <f t="shared" si="70"/>
        <v>274</v>
      </c>
      <c r="AF541" s="198">
        <v>2.48</v>
      </c>
      <c r="AG541" s="198">
        <v>2.99</v>
      </c>
      <c r="AH541" s="199">
        <v>384</v>
      </c>
      <c r="AI541" s="199">
        <v>384</v>
      </c>
      <c r="AJ541" s="65" t="s">
        <v>92</v>
      </c>
      <c r="AK541" s="196">
        <v>2019</v>
      </c>
      <c r="AL541" s="196">
        <v>2023</v>
      </c>
      <c r="AM541" s="200">
        <v>40112</v>
      </c>
      <c r="AN541" s="200">
        <v>41425</v>
      </c>
      <c r="AO541" s="107">
        <v>41428</v>
      </c>
      <c r="AP541" s="107">
        <v>41428</v>
      </c>
      <c r="AQ541" s="107">
        <v>43683</v>
      </c>
      <c r="AR541" s="107">
        <v>40149</v>
      </c>
      <c r="AS541" s="107"/>
      <c r="AT541" s="107"/>
      <c r="AU541" s="107"/>
      <c r="AV541" s="203" t="s">
        <v>70</v>
      </c>
      <c r="AW541" s="204" t="s">
        <v>70</v>
      </c>
      <c r="AX541" s="107"/>
      <c r="AY541" s="107">
        <v>42879</v>
      </c>
      <c r="AZ541" s="107">
        <v>44012</v>
      </c>
      <c r="BA541" s="107">
        <v>44848</v>
      </c>
      <c r="BB541" s="107"/>
      <c r="BC541" s="107"/>
      <c r="BD541" s="107"/>
      <c r="BE541" s="107"/>
      <c r="BF541" s="107"/>
      <c r="BG541" s="321"/>
      <c r="BH541" s="285" t="s">
        <v>1617</v>
      </c>
    </row>
    <row r="542" spans="1:60" s="61" customFormat="1" ht="20.100000000000001" customHeight="1">
      <c r="A542" s="195">
        <v>537</v>
      </c>
      <c r="B542" s="196" t="s">
        <v>1331</v>
      </c>
      <c r="C542" s="65" t="s">
        <v>66</v>
      </c>
      <c r="D542" s="65" t="s">
        <v>85</v>
      </c>
      <c r="E542" s="65" t="s">
        <v>1334</v>
      </c>
      <c r="F542" s="65" t="s">
        <v>1335</v>
      </c>
      <c r="G542" s="110">
        <v>157201.29999999999</v>
      </c>
      <c r="H542" s="196">
        <v>1980</v>
      </c>
      <c r="I542" s="110">
        <v>328</v>
      </c>
      <c r="J542" s="110">
        <f t="shared" si="73"/>
        <v>950</v>
      </c>
      <c r="K542" s="110">
        <v>950</v>
      </c>
      <c r="L542" s="110"/>
      <c r="M542" s="110"/>
      <c r="N542" s="110"/>
      <c r="O542" s="110"/>
      <c r="P542" s="197">
        <f t="shared" si="74"/>
        <v>2563</v>
      </c>
      <c r="Q542" s="197">
        <v>635</v>
      </c>
      <c r="R542" s="197">
        <v>1799</v>
      </c>
      <c r="S542" s="197">
        <v>129</v>
      </c>
      <c r="T542" s="197">
        <f t="shared" si="69"/>
        <v>2563</v>
      </c>
      <c r="U542" s="110">
        <f t="shared" si="75"/>
        <v>2434</v>
      </c>
      <c r="V542" s="110"/>
      <c r="W542" s="110">
        <v>1058</v>
      </c>
      <c r="X542" s="110">
        <v>1376</v>
      </c>
      <c r="Y542" s="110"/>
      <c r="Z542" s="110"/>
      <c r="AA542" s="110">
        <f t="shared" ref="AA542:AA547" si="76">SUM(AB542:AD542)</f>
        <v>129</v>
      </c>
      <c r="AB542" s="110">
        <v>90</v>
      </c>
      <c r="AC542" s="110">
        <v>39</v>
      </c>
      <c r="AD542" s="110"/>
      <c r="AE542" s="110">
        <f t="shared" si="70"/>
        <v>1613</v>
      </c>
      <c r="AF542" s="198">
        <v>1.2</v>
      </c>
      <c r="AG542" s="198">
        <v>2.4820000000000002</v>
      </c>
      <c r="AH542" s="199">
        <v>815</v>
      </c>
      <c r="AI542" s="199">
        <v>793</v>
      </c>
      <c r="AJ542" s="196" t="s">
        <v>92</v>
      </c>
      <c r="AK542" s="196">
        <v>2019</v>
      </c>
      <c r="AL542" s="196">
        <v>2023</v>
      </c>
      <c r="AM542" s="200" t="s">
        <v>563</v>
      </c>
      <c r="AN542" s="200" t="s">
        <v>563</v>
      </c>
      <c r="AO542" s="200">
        <v>39458</v>
      </c>
      <c r="AP542" s="107">
        <v>39869</v>
      </c>
      <c r="AQ542" s="107">
        <v>45093</v>
      </c>
      <c r="AR542" s="107">
        <v>39967</v>
      </c>
      <c r="AS542" s="107"/>
      <c r="AT542" s="107"/>
      <c r="AU542" s="107"/>
      <c r="AV542" s="203" t="s">
        <v>70</v>
      </c>
      <c r="AW542" s="204" t="s">
        <v>70</v>
      </c>
      <c r="AX542" s="107"/>
      <c r="AY542" s="107">
        <v>40078</v>
      </c>
      <c r="AZ542" s="107">
        <v>44012</v>
      </c>
      <c r="BA542" s="107">
        <v>44560</v>
      </c>
      <c r="BB542" s="107"/>
      <c r="BC542" s="107"/>
      <c r="BD542" s="107"/>
      <c r="BE542" s="107"/>
      <c r="BF542" s="107"/>
      <c r="BG542" s="321"/>
      <c r="BH542" s="285" t="s">
        <v>1618</v>
      </c>
    </row>
    <row r="543" spans="1:60" s="61" customFormat="1" ht="20.100000000000001" customHeight="1">
      <c r="A543" s="195">
        <v>538</v>
      </c>
      <c r="B543" s="196" t="s">
        <v>1331</v>
      </c>
      <c r="C543" s="65" t="s">
        <v>66</v>
      </c>
      <c r="D543" s="65" t="s">
        <v>85</v>
      </c>
      <c r="E543" s="65" t="s">
        <v>1336</v>
      </c>
      <c r="F543" s="65" t="s">
        <v>1337</v>
      </c>
      <c r="G543" s="110">
        <v>54033</v>
      </c>
      <c r="H543" s="196">
        <v>1975</v>
      </c>
      <c r="I543" s="110">
        <v>187</v>
      </c>
      <c r="J543" s="110">
        <f t="shared" si="73"/>
        <v>304</v>
      </c>
      <c r="K543" s="110">
        <v>304</v>
      </c>
      <c r="L543" s="110"/>
      <c r="M543" s="110"/>
      <c r="N543" s="110"/>
      <c r="O543" s="110"/>
      <c r="P543" s="197">
        <f t="shared" si="74"/>
        <v>1213</v>
      </c>
      <c r="Q543" s="197">
        <v>203</v>
      </c>
      <c r="R543" s="197">
        <v>949</v>
      </c>
      <c r="S543" s="197">
        <v>61</v>
      </c>
      <c r="T543" s="197">
        <f t="shared" si="69"/>
        <v>1213</v>
      </c>
      <c r="U543" s="110">
        <f t="shared" si="75"/>
        <v>1152</v>
      </c>
      <c r="V543" s="110">
        <v>124</v>
      </c>
      <c r="W543" s="110">
        <v>462</v>
      </c>
      <c r="X543" s="110">
        <v>566</v>
      </c>
      <c r="Y543" s="110"/>
      <c r="Z543" s="110"/>
      <c r="AA543" s="110">
        <f t="shared" si="76"/>
        <v>61</v>
      </c>
      <c r="AB543" s="110">
        <v>61</v>
      </c>
      <c r="AC543" s="110"/>
      <c r="AD543" s="110"/>
      <c r="AE543" s="110">
        <f t="shared" si="70"/>
        <v>909</v>
      </c>
      <c r="AF543" s="198">
        <v>1.8</v>
      </c>
      <c r="AG543" s="205" t="s">
        <v>1338</v>
      </c>
      <c r="AH543" s="199">
        <v>282</v>
      </c>
      <c r="AI543" s="199">
        <v>199</v>
      </c>
      <c r="AJ543" s="196" t="s">
        <v>92</v>
      </c>
      <c r="AK543" s="196">
        <v>2018</v>
      </c>
      <c r="AL543" s="196">
        <v>2022</v>
      </c>
      <c r="AM543" s="200" t="s">
        <v>563</v>
      </c>
      <c r="AN543" s="200" t="s">
        <v>563</v>
      </c>
      <c r="AO543" s="200">
        <v>39713</v>
      </c>
      <c r="AP543" s="107">
        <v>39713</v>
      </c>
      <c r="AQ543" s="107">
        <v>43231</v>
      </c>
      <c r="AR543" s="107">
        <v>39797</v>
      </c>
      <c r="AS543" s="107"/>
      <c r="AT543" s="107"/>
      <c r="AU543" s="107"/>
      <c r="AV543" s="203" t="s">
        <v>70</v>
      </c>
      <c r="AW543" s="204" t="s">
        <v>70</v>
      </c>
      <c r="AX543" s="107"/>
      <c r="AY543" s="107">
        <v>40116</v>
      </c>
      <c r="AZ543" s="107">
        <v>43305</v>
      </c>
      <c r="BA543" s="107">
        <v>43917</v>
      </c>
      <c r="BB543" s="107"/>
      <c r="BC543" s="107"/>
      <c r="BD543" s="107"/>
      <c r="BE543" s="107"/>
      <c r="BF543" s="107"/>
      <c r="BG543" s="321"/>
      <c r="BH543" s="285" t="s">
        <v>1618</v>
      </c>
    </row>
    <row r="544" spans="1:60" s="61" customFormat="1" ht="20.100000000000001" customHeight="1">
      <c r="A544" s="195">
        <v>539</v>
      </c>
      <c r="B544" s="196" t="s">
        <v>1331</v>
      </c>
      <c r="C544" s="65" t="s">
        <v>67</v>
      </c>
      <c r="D544" s="65" t="s">
        <v>85</v>
      </c>
      <c r="E544" s="65" t="s">
        <v>1339</v>
      </c>
      <c r="F544" s="65" t="s">
        <v>1340</v>
      </c>
      <c r="G544" s="110">
        <v>47305</v>
      </c>
      <c r="H544" s="196">
        <v>1986</v>
      </c>
      <c r="I544" s="110">
        <v>185</v>
      </c>
      <c r="J544" s="110">
        <f t="shared" si="73"/>
        <v>285</v>
      </c>
      <c r="K544" s="110">
        <v>285</v>
      </c>
      <c r="L544" s="110"/>
      <c r="M544" s="110"/>
      <c r="N544" s="110"/>
      <c r="O544" s="110"/>
      <c r="P544" s="197">
        <f t="shared" si="74"/>
        <v>951</v>
      </c>
      <c r="Q544" s="197">
        <v>223</v>
      </c>
      <c r="R544" s="197">
        <v>680</v>
      </c>
      <c r="S544" s="197">
        <v>48</v>
      </c>
      <c r="T544" s="197">
        <f t="shared" si="69"/>
        <v>951</v>
      </c>
      <c r="U544" s="110">
        <f t="shared" si="75"/>
        <v>903</v>
      </c>
      <c r="V544" s="110"/>
      <c r="W544" s="110">
        <v>548</v>
      </c>
      <c r="X544" s="110">
        <v>355</v>
      </c>
      <c r="Y544" s="110"/>
      <c r="Z544" s="110"/>
      <c r="AA544" s="110">
        <f t="shared" si="76"/>
        <v>48</v>
      </c>
      <c r="AB544" s="110">
        <v>48</v>
      </c>
      <c r="AC544" s="110"/>
      <c r="AD544" s="110"/>
      <c r="AE544" s="110">
        <f t="shared" si="70"/>
        <v>666</v>
      </c>
      <c r="AF544" s="198">
        <v>1.8</v>
      </c>
      <c r="AG544" s="205">
        <v>2.5</v>
      </c>
      <c r="AH544" s="199">
        <v>223</v>
      </c>
      <c r="AI544" s="199">
        <v>152</v>
      </c>
      <c r="AJ544" s="196" t="s">
        <v>92</v>
      </c>
      <c r="AK544" s="196">
        <v>2019</v>
      </c>
      <c r="AL544" s="196">
        <v>2023</v>
      </c>
      <c r="AM544" s="200" t="s">
        <v>563</v>
      </c>
      <c r="AN544" s="200" t="s">
        <v>563</v>
      </c>
      <c r="AO544" s="200">
        <v>38768</v>
      </c>
      <c r="AP544" s="107">
        <v>39653</v>
      </c>
      <c r="AQ544" s="108" t="s">
        <v>1341</v>
      </c>
      <c r="AR544" s="107">
        <v>39703</v>
      </c>
      <c r="AS544" s="107"/>
      <c r="AT544" s="107"/>
      <c r="AU544" s="107"/>
      <c r="AV544" s="203" t="s">
        <v>70</v>
      </c>
      <c r="AW544" s="204" t="s">
        <v>70</v>
      </c>
      <c r="AX544" s="107"/>
      <c r="AY544" s="107">
        <v>39790</v>
      </c>
      <c r="AZ544" s="108">
        <v>44082</v>
      </c>
      <c r="BA544" s="107">
        <v>44498</v>
      </c>
      <c r="BB544" s="107">
        <v>45600</v>
      </c>
      <c r="BC544" s="107"/>
      <c r="BD544" s="107"/>
      <c r="BE544" s="107"/>
      <c r="BF544" s="107"/>
      <c r="BG544" s="321"/>
      <c r="BH544" s="285" t="s">
        <v>1617</v>
      </c>
    </row>
    <row r="545" spans="1:60" s="61" customFormat="1" ht="20.100000000000001" customHeight="1">
      <c r="A545" s="195">
        <v>540</v>
      </c>
      <c r="B545" s="196" t="s">
        <v>1331</v>
      </c>
      <c r="C545" s="65" t="s">
        <v>67</v>
      </c>
      <c r="D545" s="65" t="s">
        <v>85</v>
      </c>
      <c r="E545" s="65" t="s">
        <v>1342</v>
      </c>
      <c r="F545" s="65" t="s">
        <v>1343</v>
      </c>
      <c r="G545" s="110">
        <v>35804</v>
      </c>
      <c r="H545" s="196">
        <v>1971</v>
      </c>
      <c r="I545" s="110">
        <v>146</v>
      </c>
      <c r="J545" s="110">
        <f t="shared" si="73"/>
        <v>319</v>
      </c>
      <c r="K545" s="110">
        <v>319</v>
      </c>
      <c r="L545" s="110"/>
      <c r="M545" s="110"/>
      <c r="N545" s="110"/>
      <c r="O545" s="110"/>
      <c r="P545" s="197">
        <f t="shared" si="74"/>
        <v>1055</v>
      </c>
      <c r="Q545" s="197">
        <v>139</v>
      </c>
      <c r="R545" s="197">
        <v>863</v>
      </c>
      <c r="S545" s="197">
        <v>53</v>
      </c>
      <c r="T545" s="197">
        <f t="shared" si="69"/>
        <v>1055</v>
      </c>
      <c r="U545" s="110">
        <f t="shared" si="75"/>
        <v>1002</v>
      </c>
      <c r="V545" s="110">
        <v>397</v>
      </c>
      <c r="W545" s="110">
        <v>580</v>
      </c>
      <c r="X545" s="110">
        <v>25</v>
      </c>
      <c r="Y545" s="110"/>
      <c r="Z545" s="110"/>
      <c r="AA545" s="110">
        <f t="shared" si="76"/>
        <v>53</v>
      </c>
      <c r="AB545" s="110">
        <v>53</v>
      </c>
      <c r="AC545" s="110"/>
      <c r="AD545" s="110"/>
      <c r="AE545" s="110">
        <f t="shared" si="70"/>
        <v>736</v>
      </c>
      <c r="AF545" s="198">
        <v>1.8</v>
      </c>
      <c r="AG545" s="205" t="s">
        <v>1338</v>
      </c>
      <c r="AH545" s="199">
        <v>236</v>
      </c>
      <c r="AI545" s="199">
        <v>139</v>
      </c>
      <c r="AJ545" s="196" t="s">
        <v>92</v>
      </c>
      <c r="AK545" s="196">
        <v>2018</v>
      </c>
      <c r="AL545" s="196">
        <v>2022</v>
      </c>
      <c r="AM545" s="200" t="s">
        <v>563</v>
      </c>
      <c r="AN545" s="200" t="s">
        <v>563</v>
      </c>
      <c r="AO545" s="200">
        <v>39976</v>
      </c>
      <c r="AP545" s="107">
        <v>39976</v>
      </c>
      <c r="AQ545" s="108" t="s">
        <v>1344</v>
      </c>
      <c r="AR545" s="107">
        <v>40196</v>
      </c>
      <c r="AS545" s="107"/>
      <c r="AT545" s="107"/>
      <c r="AU545" s="107"/>
      <c r="AV545" s="203" t="s">
        <v>70</v>
      </c>
      <c r="AW545" s="204" t="s">
        <v>70</v>
      </c>
      <c r="AX545" s="107"/>
      <c r="AY545" s="107">
        <v>40385</v>
      </c>
      <c r="AZ545" s="107">
        <v>43305</v>
      </c>
      <c r="BA545" s="107">
        <v>43943</v>
      </c>
      <c r="BB545" s="107">
        <v>44831</v>
      </c>
      <c r="BC545" s="107"/>
      <c r="BD545" s="107"/>
      <c r="BE545" s="107"/>
      <c r="BF545" s="107"/>
      <c r="BG545" s="321"/>
      <c r="BH545" s="285" t="s">
        <v>1617</v>
      </c>
    </row>
    <row r="546" spans="1:60" s="61" customFormat="1" ht="20.100000000000001" customHeight="1">
      <c r="A546" s="195">
        <v>541</v>
      </c>
      <c r="B546" s="196" t="s">
        <v>1331</v>
      </c>
      <c r="C546" s="65" t="s">
        <v>67</v>
      </c>
      <c r="D546" s="65" t="s">
        <v>73</v>
      </c>
      <c r="E546" s="65" t="s">
        <v>1345</v>
      </c>
      <c r="F546" s="65" t="s">
        <v>1346</v>
      </c>
      <c r="G546" s="110">
        <v>5614</v>
      </c>
      <c r="H546" s="196">
        <v>1984</v>
      </c>
      <c r="I546" s="110">
        <v>6</v>
      </c>
      <c r="J546" s="110">
        <f t="shared" si="73"/>
        <v>96</v>
      </c>
      <c r="K546" s="110"/>
      <c r="L546" s="110">
        <v>96</v>
      </c>
      <c r="M546" s="110"/>
      <c r="N546" s="110"/>
      <c r="O546" s="110"/>
      <c r="P546" s="197">
        <f t="shared" si="74"/>
        <v>115</v>
      </c>
      <c r="Q546" s="197">
        <f>88+3+5</f>
        <v>96</v>
      </c>
      <c r="R546" s="197">
        <v>19</v>
      </c>
      <c r="S546" s="197"/>
      <c r="T546" s="197">
        <f t="shared" si="69"/>
        <v>115</v>
      </c>
      <c r="U546" s="110">
        <f t="shared" si="75"/>
        <v>115</v>
      </c>
      <c r="V546" s="110">
        <v>5</v>
      </c>
      <c r="W546" s="110">
        <v>45</v>
      </c>
      <c r="X546" s="110">
        <v>65</v>
      </c>
      <c r="Y546" s="110"/>
      <c r="Z546" s="110"/>
      <c r="AA546" s="110">
        <f t="shared" si="76"/>
        <v>0</v>
      </c>
      <c r="AB546" s="110">
        <v>0</v>
      </c>
      <c r="AC546" s="110"/>
      <c r="AD546" s="110"/>
      <c r="AE546" s="110">
        <f t="shared" si="70"/>
        <v>19</v>
      </c>
      <c r="AF546" s="198">
        <f>(1020.6+901.08+901.08+680.4+901.08+600.82)/5624</f>
        <v>0.88994665718349941</v>
      </c>
      <c r="AG546" s="205">
        <v>1.7909999999999999</v>
      </c>
      <c r="AH546" s="199">
        <v>94</v>
      </c>
      <c r="AI546" s="199">
        <v>63</v>
      </c>
      <c r="AJ546" s="196" t="s">
        <v>92</v>
      </c>
      <c r="AK546" s="196">
        <v>2011</v>
      </c>
      <c r="AL546" s="196">
        <v>2025</v>
      </c>
      <c r="AM546" s="200" t="s">
        <v>1347</v>
      </c>
      <c r="AN546" s="200" t="s">
        <v>563</v>
      </c>
      <c r="AO546" s="200"/>
      <c r="AP546" s="107"/>
      <c r="AQ546" s="107"/>
      <c r="AR546" s="107">
        <v>39440</v>
      </c>
      <c r="AS546" s="107"/>
      <c r="AT546" s="107"/>
      <c r="AU546" s="107">
        <v>39304</v>
      </c>
      <c r="AV546" s="203" t="s">
        <v>70</v>
      </c>
      <c r="AW546" s="204" t="s">
        <v>70</v>
      </c>
      <c r="AX546" s="107"/>
      <c r="AY546" s="107">
        <v>39554</v>
      </c>
      <c r="AZ546" s="107">
        <v>40604</v>
      </c>
      <c r="BA546" s="107">
        <v>40903</v>
      </c>
      <c r="BB546" s="107">
        <v>41074</v>
      </c>
      <c r="BC546" s="107"/>
      <c r="BD546" s="107"/>
      <c r="BE546" s="107"/>
      <c r="BF546" s="107"/>
      <c r="BG546" s="321"/>
      <c r="BH546" s="285" t="s">
        <v>1617</v>
      </c>
    </row>
    <row r="547" spans="1:60" s="61" customFormat="1" ht="20.100000000000001" customHeight="1">
      <c r="A547" s="195">
        <v>542</v>
      </c>
      <c r="B547" s="196" t="s">
        <v>1331</v>
      </c>
      <c r="C547" s="65" t="s">
        <v>68</v>
      </c>
      <c r="D547" s="65" t="s">
        <v>73</v>
      </c>
      <c r="E547" s="65" t="s">
        <v>1348</v>
      </c>
      <c r="F547" s="65" t="s">
        <v>1349</v>
      </c>
      <c r="G547" s="110">
        <v>2274</v>
      </c>
      <c r="H547" s="196">
        <v>1986</v>
      </c>
      <c r="I547" s="110">
        <v>6</v>
      </c>
      <c r="J547" s="110">
        <f t="shared" si="73"/>
        <v>37</v>
      </c>
      <c r="K547" s="110"/>
      <c r="L547" s="110">
        <v>36</v>
      </c>
      <c r="M547" s="110">
        <v>1</v>
      </c>
      <c r="N547" s="110"/>
      <c r="O547" s="110"/>
      <c r="P547" s="197">
        <f t="shared" si="74"/>
        <v>66</v>
      </c>
      <c r="Q547" s="197">
        <v>37</v>
      </c>
      <c r="R547" s="197">
        <v>29</v>
      </c>
      <c r="S547" s="197"/>
      <c r="T547" s="197">
        <f t="shared" si="69"/>
        <v>66</v>
      </c>
      <c r="U547" s="110">
        <f t="shared" si="75"/>
        <v>66</v>
      </c>
      <c r="V547" s="110">
        <v>16</v>
      </c>
      <c r="W547" s="110">
        <v>50</v>
      </c>
      <c r="X547" s="110"/>
      <c r="Y547" s="110"/>
      <c r="Z547" s="110"/>
      <c r="AA547" s="110">
        <f t="shared" si="76"/>
        <v>0</v>
      </c>
      <c r="AB547" s="110">
        <v>0</v>
      </c>
      <c r="AC547" s="110"/>
      <c r="AD547" s="110"/>
      <c r="AE547" s="110">
        <f t="shared" si="70"/>
        <v>29</v>
      </c>
      <c r="AF547" s="198">
        <f>2166/2274</f>
        <v>0.9525065963060686</v>
      </c>
      <c r="AG547" s="205">
        <v>1.7968999999999999</v>
      </c>
      <c r="AH547" s="199">
        <v>37</v>
      </c>
      <c r="AI547" s="199">
        <v>37</v>
      </c>
      <c r="AJ547" s="196" t="s">
        <v>92</v>
      </c>
      <c r="AK547" s="196">
        <v>2016</v>
      </c>
      <c r="AL547" s="196">
        <v>2019</v>
      </c>
      <c r="AM547" s="200" t="s">
        <v>1347</v>
      </c>
      <c r="AN547" s="200" t="s">
        <v>563</v>
      </c>
      <c r="AO547" s="200"/>
      <c r="AP547" s="107"/>
      <c r="AQ547" s="107"/>
      <c r="AR547" s="107">
        <v>41963</v>
      </c>
      <c r="AS547" s="107"/>
      <c r="AT547" s="107"/>
      <c r="AU547" s="107">
        <v>41872</v>
      </c>
      <c r="AV547" s="203" t="s">
        <v>70</v>
      </c>
      <c r="AW547" s="204" t="s">
        <v>70</v>
      </c>
      <c r="AX547" s="107"/>
      <c r="AY547" s="107">
        <v>42038</v>
      </c>
      <c r="AZ547" s="107">
        <v>42353</v>
      </c>
      <c r="BA547" s="107">
        <v>42486</v>
      </c>
      <c r="BB547" s="107">
        <v>42502</v>
      </c>
      <c r="BC547" s="107"/>
      <c r="BD547" s="107">
        <v>43707</v>
      </c>
      <c r="BE547" s="107">
        <v>43734</v>
      </c>
      <c r="BF547" s="107"/>
      <c r="BG547" s="321"/>
      <c r="BH547" s="285" t="s">
        <v>1618</v>
      </c>
    </row>
  </sheetData>
  <mergeCells count="53">
    <mergeCell ref="AI3:AI4"/>
    <mergeCell ref="AK3:AK4"/>
    <mergeCell ref="BC2:BC4"/>
    <mergeCell ref="BA2:BA4"/>
    <mergeCell ref="B2:B4"/>
    <mergeCell ref="AH2:AI2"/>
    <mergeCell ref="U3:Z3"/>
    <mergeCell ref="AJ2:AJ4"/>
    <mergeCell ref="AT2:AX2"/>
    <mergeCell ref="AQ3:AQ4"/>
    <mergeCell ref="AR2:AR4"/>
    <mergeCell ref="AH3:AH4"/>
    <mergeCell ref="P2:S2"/>
    <mergeCell ref="Q3:R3"/>
    <mergeCell ref="AV3:AV4"/>
    <mergeCell ref="BH2:BH4"/>
    <mergeCell ref="BD2:BD4"/>
    <mergeCell ref="AM2:AM4"/>
    <mergeCell ref="AT3:AT4"/>
    <mergeCell ref="BG2:BG4"/>
    <mergeCell ref="BB2:BB4"/>
    <mergeCell ref="AY2:AY4"/>
    <mergeCell ref="BF2:BF4"/>
    <mergeCell ref="AP3:AP4"/>
    <mergeCell ref="I3:I4"/>
    <mergeCell ref="AW3:AX3"/>
    <mergeCell ref="BE2:BE4"/>
    <mergeCell ref="AK2:AL2"/>
    <mergeCell ref="AA3:AD3"/>
    <mergeCell ref="P3:P4"/>
    <mergeCell ref="AN2:AN4"/>
    <mergeCell ref="AP2:AQ2"/>
    <mergeCell ref="AU3:AU4"/>
    <mergeCell ref="T3:T4"/>
    <mergeCell ref="AF2:AG2"/>
    <mergeCell ref="AS2:AS4"/>
    <mergeCell ref="AE2:AE4"/>
    <mergeCell ref="J3:O3"/>
    <mergeCell ref="D2:D4"/>
    <mergeCell ref="A2:A4"/>
    <mergeCell ref="AF3:AF4"/>
    <mergeCell ref="C2:C4"/>
    <mergeCell ref="AZ2:AZ4"/>
    <mergeCell ref="AO2:AO4"/>
    <mergeCell ref="E2:E4"/>
    <mergeCell ref="F2:F4"/>
    <mergeCell ref="G2:G4"/>
    <mergeCell ref="AL3:AL4"/>
    <mergeCell ref="H2:H4"/>
    <mergeCell ref="S3:S4"/>
    <mergeCell ref="I2:O2"/>
    <mergeCell ref="T2:AD2"/>
    <mergeCell ref="AG3:AG4"/>
  </mergeCells>
  <phoneticPr fontId="2" type="noConversion"/>
  <dataValidations count="58">
    <dataValidation type="list" allowBlank="1" showInputMessage="1" showErrorMessage="1" sqref="C445 C74:C82 C171:C175 C219:C227 C284:C295 C385:C387 C421:C422 C436:C437 C467 C480:C481 C484:C486 C494:C503 C522:C524 C537 C402:C403 C405 C271:C281 C382 C447 C11:C28 C135:C138" xr:uid="{00000000-0002-0000-0000-000000000000}">
      <formula1>"예정구역,정비구역,추진위원회,조합설립,사업시행,관리처분,착공,준공"</formula1>
    </dataValidation>
    <dataValidation type="list" allowBlank="1" showInputMessage="1" showErrorMessage="1" sqref="B406:B547 B6:B393" xr:uid="{00000000-0002-0000-0000-000001000000}">
      <formula1>"수원시,성남시,용인시,부천시,안산시,안양시,화성시,평택시,시흥시,광명시,군포시,오산시,이천시,안성시,의왕시,하남시,과천시,고양시,남양주시,의정부시,파주시,양주시,구리시,동두천시"</formula1>
    </dataValidation>
    <dataValidation type="list" allowBlank="1" showInputMessage="1" showErrorMessage="1" sqref="C57:C73 C469:C473 C76:C105 C525:C536 C538:C547 C388:C401 C404 C477:C480 C386 C482:C483 C487:C489 C491:C493 C495 C497 C499:C511 C513 C515 C517 C296:C384 C6:C48 C406:C467 C176:C274 C282:C283 C107:C137 C139:C172" xr:uid="{00000000-0002-0000-0000-000005000000}">
      <formula1>"예정구역,정비구역,추진위원회,조합설립,사업시행,관리처분,착공,준공,청산"</formula1>
    </dataValidation>
    <dataValidation type="list" allowBlank="1" showInputMessage="1" showErrorMessage="1" sqref="AL73 AV216:AW281 AV448:AW521 AX382 AV375:AW375 AV29:AW61 AV18:AW18 AV380:AW446 AV125:AW156 AV121:AX121 AV62:AV73 AW62:AW72 AV74:AW120 AV524:AW547 AV332:AW348 AV362:AW373 AV6:AW14" xr:uid="{00000000-0002-0000-0000-000008000000}">
      <formula1>#REF!</formula1>
    </dataValidation>
    <dataValidation type="list" allowBlank="1" showInputMessage="1" showErrorMessage="1" sqref="C474:C477 C103:C106 C193:C194 C249:C258 C324:C330 C393 C418:C419 C468 C539 C490 C512 C514 C516 C518:C521 C49:C56" xr:uid="{00000000-0002-0000-0000-00000D000000}">
      <formula1>"예정구역,정비구역,추진위원회,조합설립,사업시행,관리처분,착공,준공,청산, 해산"</formula1>
    </dataValidation>
    <dataValidation type="list" allowBlank="1" showInputMessage="1" showErrorMessage="1" sqref="AW522:AW523" xr:uid="{00000000-0002-0000-0000-000010000000}">
      <formula1>$AR$487:$AR$504</formula1>
    </dataValidation>
    <dataValidation type="list" allowBlank="1" showInputMessage="1" showErrorMessage="1" sqref="AV522:AV523" xr:uid="{00000000-0002-0000-0000-000011000000}">
      <formula1>$AP$487:$AP$505</formula1>
    </dataValidation>
    <dataValidation type="list" allowBlank="1" showInputMessage="1" showErrorMessage="1" sqref="AW315" xr:uid="{00000000-0002-0000-0000-000012000000}">
      <formula1>$AR$527:$AR$528</formula1>
    </dataValidation>
    <dataValidation type="list" allowBlank="1" showInputMessage="1" showErrorMessage="1" sqref="AW157:AW166 AW168:AW173 AW175:AW176 AW183:AW189 AW329:AW330" xr:uid="{00000000-0002-0000-0000-000013000000}">
      <formula1>$AR$525:$AR$526</formula1>
    </dataValidation>
    <dataValidation type="list" allowBlank="1" showInputMessage="1" showErrorMessage="1" sqref="AV157:AV166 AV168:AV173 AV175:AV176 AV183:AV189 AV329:AV330" xr:uid="{00000000-0002-0000-0000-000014000000}">
      <formula1>$AP$525:$AP$530</formula1>
    </dataValidation>
    <dataValidation type="list" allowBlank="1" showInputMessage="1" showErrorMessage="1" sqref="AW301" xr:uid="{00000000-0002-0000-0000-000015000000}">
      <formula1>$AR$501:$AR$502</formula1>
    </dataValidation>
    <dataValidation type="list" allowBlank="1" showInputMessage="1" showErrorMessage="1" sqref="AV301" xr:uid="{00000000-0002-0000-0000-000016000000}">
      <formula1>$AP$501:$AP$506</formula1>
    </dataValidation>
    <dataValidation type="list" allowBlank="1" showInputMessage="1" showErrorMessage="1" sqref="AV182" xr:uid="{00000000-0002-0000-0000-000017000000}">
      <formula1>$AN$525:$AN$530</formula1>
    </dataValidation>
    <dataValidation type="list" allowBlank="1" showInputMessage="1" showErrorMessage="1" sqref="AV167" xr:uid="{00000000-0002-0000-0000-000018000000}">
      <formula1>$AP$526:$AP$531</formula1>
    </dataValidation>
    <dataValidation type="list" allowBlank="1" showInputMessage="1" showErrorMessage="1" sqref="AW167" xr:uid="{00000000-0002-0000-0000-000019000000}">
      <formula1>$AR$526:$AR$527</formula1>
    </dataValidation>
    <dataValidation type="list" allowBlank="1" showInputMessage="1" showErrorMessage="1" sqref="AW172 AW177:AW181 AW183:AW194 AW174" xr:uid="{00000000-0002-0000-0000-00001A000000}">
      <formula1>$AR$531:$AR$532</formula1>
    </dataValidation>
    <dataValidation type="list" allowBlank="1" showInputMessage="1" showErrorMessage="1" sqref="AV172 AV177:AV181 AV183:AV194 AV174" xr:uid="{00000000-0002-0000-0000-00001B000000}">
      <formula1>$AP$531:$AP$538</formula1>
    </dataValidation>
    <dataValidation type="list" allowBlank="1" showInputMessage="1" showErrorMessage="1" sqref="AV195:AV215 AV220:AV228" xr:uid="{00000000-0002-0000-0000-00001D000000}">
      <formula1>$AP$544:$AP$546</formula1>
    </dataValidation>
    <dataValidation type="list" allowBlank="1" showInputMessage="1" showErrorMessage="1" sqref="AW195:AW215 AW220:AW228" xr:uid="{00000000-0002-0000-0000-00001E000000}">
      <formula1>$AR$544:$AR$545</formula1>
    </dataValidation>
    <dataValidation type="list" allowBlank="1" showInputMessage="1" showErrorMessage="1" sqref="AV299:AV300 AV302 AV304 AV307:AV308" xr:uid="{00000000-0002-0000-0000-00001F000000}">
      <formula1>$AP$510:$AP$521</formula1>
    </dataValidation>
    <dataValidation type="list" allowBlank="1" showInputMessage="1" showErrorMessage="1" sqref="AW303 AW305:AW306 AW309:AW311 AW324 AW327" xr:uid="{00000000-0002-0000-0000-000020000000}">
      <formula1>$AR$514:$AR$514</formula1>
    </dataValidation>
    <dataValidation type="list" allowBlank="1" showInputMessage="1" showErrorMessage="1" sqref="AV294:AV295 AV298 AV325:AV326" xr:uid="{00000000-0002-0000-0000-000021000000}">
      <formula1>$AP$515:$AP$526</formula1>
    </dataValidation>
    <dataValidation type="list" allowBlank="1" showInputMessage="1" showErrorMessage="1" sqref="AW294:AW295 AW298 AW325:AW326" xr:uid="{00000000-0002-0000-0000-000022000000}">
      <formula1>$AR$515:$AR$522</formula1>
    </dataValidation>
    <dataValidation type="list" allowBlank="1" showInputMessage="1" showErrorMessage="1" sqref="AV303 AV305:AV306 AV309:AV311 AV324 AV327" xr:uid="{00000000-0002-0000-0000-000023000000}">
      <formula1>$AP$521:$AP$524</formula1>
    </dataValidation>
    <dataValidation type="list" allowBlank="1" showInputMessage="1" showErrorMessage="1" sqref="AV301" xr:uid="{00000000-0002-0000-0000-000024000000}">
      <formula1>$AP$488:$AP$493</formula1>
    </dataValidation>
    <dataValidation type="list" allowBlank="1" showInputMessage="1" showErrorMessage="1" sqref="AW301" xr:uid="{00000000-0002-0000-0000-000025000000}">
      <formula1>$AR$488:$AR$489</formula1>
    </dataValidation>
    <dataValidation type="list" allowBlank="1" showInputMessage="1" showErrorMessage="1" sqref="AV271" xr:uid="{00000000-0002-0000-0000-000026000000}">
      <formula1>$AP$508:$AP$513</formula1>
    </dataValidation>
    <dataValidation type="list" allowBlank="1" showInputMessage="1" showErrorMessage="1" sqref="AW271" xr:uid="{00000000-0002-0000-0000-000027000000}">
      <formula1>$AR$508:$AR$509</formula1>
    </dataValidation>
    <dataValidation type="list" allowBlank="1" showInputMessage="1" showErrorMessage="1" sqref="AW271" xr:uid="{00000000-0002-0000-0000-000028000000}">
      <formula1>$AR$508:$AR$508</formula1>
    </dataValidation>
    <dataValidation type="list" allowBlank="1" showInputMessage="1" showErrorMessage="1" sqref="AV271" xr:uid="{00000000-0002-0000-0000-000029000000}">
      <formula1>$AP$508:$AP$512</formula1>
    </dataValidation>
    <dataValidation type="list" allowBlank="1" showInputMessage="1" showErrorMessage="1" sqref="AV286" xr:uid="{00000000-0002-0000-0000-00002A000000}">
      <formula1>$AP$529:$AP$534</formula1>
    </dataValidation>
    <dataValidation type="list" allowBlank="1" showInputMessage="1" showErrorMessage="1" sqref="AW286" xr:uid="{00000000-0002-0000-0000-00002B000000}">
      <formula1>$AR$529:$AR$530</formula1>
    </dataValidation>
    <dataValidation type="list" allowBlank="1" showInputMessage="1" showErrorMessage="1" sqref="AW296:AW297 AW282:AW283 AW270:AW274 AW264:AW265 AW276 AW286:AW293" xr:uid="{00000000-0002-0000-0000-00002C000000}">
      <formula1>$AR$529:$AR$529</formula1>
    </dataValidation>
    <dataValidation type="list" allowBlank="1" showInputMessage="1" showErrorMessage="1" sqref="AV296:AV297 AV282:AV283 AV270:AV274 AV264:AV265 AV276 AV286:AV293" xr:uid="{00000000-0002-0000-0000-00002D000000}">
      <formula1>$AP$529:$AP$533</formula1>
    </dataValidation>
    <dataValidation type="list" allowBlank="1" showInputMessage="1" showErrorMessage="1" sqref="AV322:AV323" xr:uid="{00000000-0002-0000-0000-00002E000000}">
      <formula1>$AP$532:$AP$537</formula1>
    </dataValidation>
    <dataValidation type="list" allowBlank="1" showInputMessage="1" showErrorMessage="1" sqref="AW322:AW323" xr:uid="{00000000-0002-0000-0000-00002F000000}">
      <formula1>$AR$532:$AR$533</formula1>
    </dataValidation>
    <dataValidation type="list" allowBlank="1" showInputMessage="1" showErrorMessage="1" sqref="AV284:AV285 AV275:AV276 AV266:AV271" xr:uid="{00000000-0002-0000-0000-000030000000}">
      <formula1>$AP$523:$AP$527</formula1>
    </dataValidation>
    <dataValidation type="list" allowBlank="1" showInputMessage="1" showErrorMessage="1" sqref="AW284:AW285 AW275:AW276 AW266:AW271" xr:uid="{00000000-0002-0000-0000-000031000000}">
      <formula1>$AR$523:$AR$523</formula1>
    </dataValidation>
    <dataValidation type="list" allowBlank="1" showInputMessage="1" showErrorMessage="1" sqref="AV277:AV281" xr:uid="{00000000-0002-0000-0000-000032000000}">
      <formula1>$AP$502:$AP$506</formula1>
    </dataValidation>
    <dataValidation type="list" allowBlank="1" showInputMessage="1" showErrorMessage="1" sqref="AW277:AW281" xr:uid="{00000000-0002-0000-0000-000033000000}">
      <formula1>$AR$502:$AR$502</formula1>
    </dataValidation>
    <dataValidation type="list" allowBlank="1" showInputMessage="1" showErrorMessage="1" sqref="AW277:AW281" xr:uid="{00000000-0002-0000-0000-000034000000}">
      <formula1>$AR$502:$AR$503</formula1>
    </dataValidation>
    <dataValidation type="list" allowBlank="1" showInputMessage="1" showErrorMessage="1" sqref="AV277:AV281" xr:uid="{00000000-0002-0000-0000-000035000000}">
      <formula1>$AP$502:$AP$507</formula1>
    </dataValidation>
    <dataValidation type="list" allowBlank="1" showInputMessage="1" showErrorMessage="1" sqref="AW299:AW300 AW302 AW304 AW307:AW308" xr:uid="{00000000-0002-0000-0000-000036000000}">
      <formula1>$AR$510:$AR$511</formula1>
    </dataValidation>
    <dataValidation type="list" allowBlank="1" showInputMessage="1" showErrorMessage="1" sqref="AW313:AW314 AW316:AW317 AW324:AW331" xr:uid="{00000000-0002-0000-0000-000037000000}">
      <formula1>$AR$522:$AR$523</formula1>
    </dataValidation>
    <dataValidation type="list" allowBlank="1" showInputMessage="1" showErrorMessage="1" sqref="AV313:AV314 AV316:AV317 AV324:AV331" xr:uid="{00000000-0002-0000-0000-000038000000}">
      <formula1>$AP$522:$AP$527</formula1>
    </dataValidation>
    <dataValidation type="list" allowBlank="1" showInputMessage="1" showErrorMessage="1" sqref="AW318:AW321" xr:uid="{00000000-0002-0000-0000-000039000000}">
      <formula1>$AR$530:$AR$531</formula1>
    </dataValidation>
    <dataValidation type="list" allowBlank="1" showInputMessage="1" showErrorMessage="1" sqref="AV318:AV321" xr:uid="{00000000-0002-0000-0000-00003A000000}">
      <formula1>$AP$530:$AP$535</formula1>
    </dataValidation>
    <dataValidation type="list" allowBlank="1" showInputMessage="1" showErrorMessage="1" sqref="AV324:AV328 AV275:AV276 AV266:AV271 AV278:AV281 AV284:AV285 AV312" xr:uid="{00000000-0002-0000-0000-00003B000000}">
      <formula1>$AP$523:$AP$528</formula1>
    </dataValidation>
    <dataValidation type="list" allowBlank="1" showInputMessage="1" showErrorMessage="1" sqref="AW324:AW328 AW275:AW276 AW266:AW271 AW278:AW281 AW284:AW285 AW312" xr:uid="{00000000-0002-0000-0000-00003C000000}">
      <formula1>$AR$523:$AR$524</formula1>
    </dataValidation>
    <dataValidation type="list" allowBlank="1" showInputMessage="1" showErrorMessage="1" sqref="AV315" xr:uid="{00000000-0002-0000-0000-00003D000000}">
      <formula1>$AP$527:$AP$532</formula1>
    </dataValidation>
    <dataValidation type="list" allowBlank="1" showInputMessage="1" showErrorMessage="1" sqref="AV498:AV500" xr:uid="{00000000-0002-0000-0000-00003E000000}">
      <formula1>$AP$34:$AP$36</formula1>
    </dataValidation>
    <dataValidation type="list" allowBlank="1" showInputMessage="1" showErrorMessage="1" sqref="AV376:AV379 AV349:AV361 AV369" xr:uid="{00000000-0002-0000-0000-00003F000000}">
      <formula1>$AP$536:$AP$539</formula1>
    </dataValidation>
    <dataValidation type="list" allowBlank="1" showInputMessage="1" showErrorMessage="1" sqref="AW376:AW379 AW349:AW361 AW369 AW371 AW374" xr:uid="{00000000-0002-0000-0000-000040000000}">
      <formula1>$AR$536:$AR$537</formula1>
    </dataValidation>
    <dataValidation type="list" allowBlank="1" showInputMessage="1" showErrorMessage="1" sqref="AV371" xr:uid="{00000000-0002-0000-0000-000041000000}">
      <formula1>$AP$539:$AP$539</formula1>
    </dataValidation>
    <dataValidation type="list" allowBlank="1" showInputMessage="1" showErrorMessage="1" sqref="AW371" xr:uid="{00000000-0002-0000-0000-000042000000}">
      <formula1>$AR$539:$AR$539</formula1>
    </dataValidation>
    <dataValidation type="list" allowBlank="1" showInputMessage="1" showErrorMessage="1" sqref="AV371 AV374" xr:uid="{00000000-0002-0000-0000-000043000000}">
      <formula1>$AP$537:$AP$539</formula1>
    </dataValidation>
    <dataValidation type="list" allowBlank="1" showInputMessage="1" showErrorMessage="1" sqref="AW122:AW124" xr:uid="{BE80804E-739C-47AB-AB53-A0C6DF989CB0}">
      <formula1>$BF$530:$BF$531</formula1>
    </dataValidation>
    <dataValidation type="list" allowBlank="1" showInputMessage="1" showErrorMessage="1" sqref="AV122:AV124 AX124 AX122" xr:uid="{46731F58-3E6C-43ED-87FD-ED5D88F61F8B}">
      <formula1>$BD$530:$BD$535</formula1>
    </dataValidation>
  </dataValidations>
  <printOptions horizontalCentered="1"/>
  <pageMargins left="0.39370078740157483" right="0.31496062992125978" top="0.47244094488188981" bottom="0.51181102362204722" header="0.31496062992125978" footer="0.31496062992125978"/>
  <pageSetup paperSize="9" scale="55"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43"/>
  <sheetViews>
    <sheetView workbookViewId="0">
      <selection activeCell="N17" sqref="N17"/>
    </sheetView>
  </sheetViews>
  <sheetFormatPr defaultRowHeight="16.5"/>
  <cols>
    <col min="5" max="5" width="9" style="68" customWidth="1"/>
  </cols>
  <sheetData>
    <row r="1" spans="1:21">
      <c r="A1" s="372" t="s">
        <v>1379</v>
      </c>
      <c r="B1" s="372" t="s">
        <v>2</v>
      </c>
      <c r="C1" s="372" t="s">
        <v>5</v>
      </c>
      <c r="D1" s="86" t="s">
        <v>1366</v>
      </c>
      <c r="E1" s="28"/>
      <c r="F1" s="372" t="s">
        <v>1380</v>
      </c>
      <c r="G1" s="378"/>
      <c r="H1" s="378"/>
      <c r="I1" s="377"/>
      <c r="J1" s="372" t="s">
        <v>34</v>
      </c>
    </row>
    <row r="2" spans="1:21" ht="27" customHeight="1">
      <c r="A2" s="373"/>
      <c r="B2" s="373"/>
      <c r="C2" s="373"/>
      <c r="D2" s="87" t="s">
        <v>1381</v>
      </c>
      <c r="E2" s="87"/>
      <c r="F2" s="18" t="s">
        <v>40</v>
      </c>
      <c r="G2" s="18" t="s">
        <v>1382</v>
      </c>
      <c r="H2" s="18" t="s">
        <v>1383</v>
      </c>
      <c r="I2" s="18" t="s">
        <v>1384</v>
      </c>
      <c r="J2" s="373"/>
    </row>
    <row r="3" spans="1:21">
      <c r="A3" s="372" t="s">
        <v>40</v>
      </c>
      <c r="B3" s="377"/>
      <c r="C3" s="19"/>
      <c r="D3" s="19"/>
      <c r="E3" s="19"/>
      <c r="F3" s="20">
        <v>5551</v>
      </c>
      <c r="G3" s="20">
        <v>3166</v>
      </c>
      <c r="H3" s="20">
        <v>1985</v>
      </c>
      <c r="I3" s="19">
        <v>169</v>
      </c>
      <c r="J3" s="19"/>
    </row>
    <row r="4" spans="1:21" ht="27" customHeight="1">
      <c r="A4" s="376" t="s">
        <v>1378</v>
      </c>
      <c r="B4" s="21" t="s">
        <v>629</v>
      </c>
      <c r="C4" s="21" t="s">
        <v>1385</v>
      </c>
      <c r="D4" s="21" t="s">
        <v>85</v>
      </c>
      <c r="E4" s="21"/>
      <c r="F4" s="22">
        <v>86</v>
      </c>
      <c r="G4" s="22">
        <v>86</v>
      </c>
      <c r="H4" s="22"/>
      <c r="I4" s="22"/>
      <c r="J4" s="22"/>
    </row>
    <row r="5" spans="1:21">
      <c r="A5" s="375"/>
      <c r="B5" s="374" t="s">
        <v>974</v>
      </c>
      <c r="C5" s="22" t="s">
        <v>1386</v>
      </c>
      <c r="D5" s="21" t="s">
        <v>85</v>
      </c>
      <c r="E5" s="21"/>
      <c r="F5" s="22">
        <v>241</v>
      </c>
      <c r="G5" s="22">
        <v>241</v>
      </c>
      <c r="H5" s="22"/>
      <c r="I5" s="22"/>
      <c r="J5" s="23"/>
    </row>
    <row r="6" spans="1:21">
      <c r="A6" s="375"/>
      <c r="B6" s="373"/>
      <c r="C6" s="22" t="s">
        <v>1387</v>
      </c>
      <c r="D6" s="21" t="s">
        <v>85</v>
      </c>
      <c r="E6" s="21"/>
      <c r="F6" s="22">
        <v>105</v>
      </c>
      <c r="G6" s="22">
        <v>105</v>
      </c>
      <c r="H6" s="22"/>
      <c r="I6" s="22"/>
      <c r="J6" s="22"/>
    </row>
    <row r="7" spans="1:21" ht="26.25" customHeight="1">
      <c r="A7" s="373"/>
      <c r="B7" s="21" t="s">
        <v>1388</v>
      </c>
      <c r="C7" s="21" t="s">
        <v>1389</v>
      </c>
      <c r="D7" s="21" t="s">
        <v>85</v>
      </c>
      <c r="E7" s="21"/>
      <c r="F7" s="22">
        <v>24</v>
      </c>
      <c r="G7" s="22">
        <v>24</v>
      </c>
      <c r="H7" s="22"/>
      <c r="I7" s="22"/>
      <c r="J7" s="22"/>
    </row>
    <row r="8" spans="1:21" ht="27" customHeight="1">
      <c r="A8" s="376" t="s">
        <v>1377</v>
      </c>
      <c r="B8" s="374" t="s">
        <v>71</v>
      </c>
      <c r="C8" s="22" t="s">
        <v>1390</v>
      </c>
      <c r="D8" s="21" t="s">
        <v>85</v>
      </c>
      <c r="E8" s="21"/>
      <c r="F8" s="22">
        <v>156</v>
      </c>
      <c r="G8" s="22">
        <v>156</v>
      </c>
      <c r="H8" s="22"/>
      <c r="I8" s="22"/>
      <c r="J8" s="22"/>
      <c r="U8" s="68">
        <v>132</v>
      </c>
    </row>
    <row r="9" spans="1:21" ht="27" customHeight="1">
      <c r="A9" s="375"/>
      <c r="B9" s="373"/>
      <c r="C9" s="22" t="s">
        <v>1391</v>
      </c>
      <c r="D9" s="21" t="s">
        <v>85</v>
      </c>
      <c r="E9" s="21"/>
      <c r="F9" s="22">
        <v>59</v>
      </c>
      <c r="G9" s="22">
        <v>59</v>
      </c>
      <c r="H9" s="22"/>
      <c r="I9" s="22"/>
      <c r="J9" s="22"/>
      <c r="U9" s="68">
        <v>70</v>
      </c>
    </row>
    <row r="10" spans="1:21">
      <c r="A10" s="375"/>
      <c r="B10" s="374" t="s">
        <v>376</v>
      </c>
      <c r="C10" s="21" t="s">
        <v>1392</v>
      </c>
      <c r="D10" s="21" t="s">
        <v>85</v>
      </c>
      <c r="E10" s="21"/>
      <c r="F10" s="22">
        <v>28</v>
      </c>
      <c r="G10" s="22">
        <v>28</v>
      </c>
      <c r="H10" s="22"/>
      <c r="I10" s="22"/>
      <c r="J10" s="22"/>
      <c r="U10" s="68">
        <v>220</v>
      </c>
    </row>
    <row r="11" spans="1:21">
      <c r="A11" s="375"/>
      <c r="B11" s="373"/>
      <c r="C11" s="21" t="s">
        <v>1393</v>
      </c>
      <c r="D11" s="21" t="s">
        <v>85</v>
      </c>
      <c r="E11" s="21"/>
      <c r="F11" s="22">
        <v>189</v>
      </c>
      <c r="G11" s="22">
        <v>189</v>
      </c>
      <c r="H11" s="22"/>
      <c r="I11" s="22"/>
      <c r="J11" s="22"/>
      <c r="U11" s="68">
        <v>217</v>
      </c>
    </row>
    <row r="12" spans="1:21">
      <c r="A12" s="375"/>
      <c r="B12" s="374" t="s">
        <v>974</v>
      </c>
      <c r="C12" s="22" t="s">
        <v>1394</v>
      </c>
      <c r="D12" s="21" t="s">
        <v>85</v>
      </c>
      <c r="E12" s="21"/>
      <c r="F12" s="22">
        <v>53</v>
      </c>
      <c r="G12" s="22">
        <v>53</v>
      </c>
      <c r="H12" s="22"/>
      <c r="I12" s="22"/>
      <c r="J12" s="22"/>
      <c r="U12" s="68">
        <v>62</v>
      </c>
    </row>
    <row r="13" spans="1:21">
      <c r="A13" s="375"/>
      <c r="B13" s="373"/>
      <c r="C13" s="22" t="s">
        <v>1395</v>
      </c>
      <c r="D13" s="21" t="s">
        <v>85</v>
      </c>
      <c r="E13" s="21"/>
      <c r="F13" s="22">
        <v>154</v>
      </c>
      <c r="G13" s="22">
        <v>154</v>
      </c>
      <c r="H13" s="22"/>
      <c r="I13" s="22"/>
      <c r="J13" s="22"/>
      <c r="U13" s="68">
        <v>187</v>
      </c>
    </row>
    <row r="14" spans="1:21">
      <c r="A14" s="375"/>
      <c r="B14" s="21" t="s">
        <v>1315</v>
      </c>
      <c r="C14" s="21" t="s">
        <v>1396</v>
      </c>
      <c r="D14" s="21" t="s">
        <v>85</v>
      </c>
      <c r="E14" s="21"/>
      <c r="F14" s="22">
        <v>32</v>
      </c>
      <c r="G14" s="22">
        <v>32</v>
      </c>
      <c r="H14" s="22"/>
      <c r="I14" s="22"/>
      <c r="J14" s="23"/>
      <c r="U14" s="68">
        <v>82</v>
      </c>
    </row>
    <row r="15" spans="1:21">
      <c r="A15" s="373"/>
      <c r="B15" s="21" t="s">
        <v>1175</v>
      </c>
      <c r="C15" s="21" t="s">
        <v>1397</v>
      </c>
      <c r="D15" s="21" t="s">
        <v>73</v>
      </c>
      <c r="E15" s="21"/>
      <c r="F15" s="22">
        <v>41</v>
      </c>
      <c r="G15" s="22">
        <v>41</v>
      </c>
      <c r="H15" s="22"/>
      <c r="I15" s="22"/>
      <c r="J15" s="23"/>
      <c r="U15" s="68">
        <v>362</v>
      </c>
    </row>
    <row r="16" spans="1:21">
      <c r="A16" s="376" t="s">
        <v>1376</v>
      </c>
      <c r="B16" s="374" t="s">
        <v>71</v>
      </c>
      <c r="C16" s="22" t="s">
        <v>144</v>
      </c>
      <c r="D16" s="21" t="s">
        <v>85</v>
      </c>
      <c r="E16" s="21"/>
      <c r="F16" s="22">
        <v>47</v>
      </c>
      <c r="G16" s="22"/>
      <c r="H16" s="24">
        <v>82</v>
      </c>
      <c r="I16" s="22"/>
      <c r="J16" s="22"/>
      <c r="U16" s="26">
        <f>SUM(U8:U15)</f>
        <v>1332</v>
      </c>
    </row>
    <row r="17" spans="1:21" ht="26.25" customHeight="1">
      <c r="A17" s="375"/>
      <c r="B17" s="375"/>
      <c r="C17" s="22" t="s">
        <v>1398</v>
      </c>
      <c r="D17" s="21" t="s">
        <v>85</v>
      </c>
      <c r="E17" s="21"/>
      <c r="F17" s="22">
        <v>121</v>
      </c>
      <c r="G17" s="22"/>
      <c r="H17" s="22">
        <v>121</v>
      </c>
      <c r="I17" s="22"/>
      <c r="J17" s="22"/>
      <c r="U17" s="68">
        <v>98</v>
      </c>
    </row>
    <row r="18" spans="1:21" ht="26.25" customHeight="1">
      <c r="A18" s="375"/>
      <c r="B18" s="375"/>
      <c r="C18" s="22" t="s">
        <v>1399</v>
      </c>
      <c r="D18" s="21" t="s">
        <v>85</v>
      </c>
      <c r="E18" s="21"/>
      <c r="F18" s="22">
        <v>241</v>
      </c>
      <c r="G18" s="22"/>
      <c r="H18" s="22">
        <v>241</v>
      </c>
      <c r="I18" s="22"/>
      <c r="J18" s="22"/>
      <c r="U18" s="68">
        <v>175</v>
      </c>
    </row>
    <row r="19" spans="1:21" ht="27" customHeight="1">
      <c r="A19" s="375"/>
      <c r="B19" s="373"/>
      <c r="C19" s="22" t="s">
        <v>1400</v>
      </c>
      <c r="D19" s="21" t="s">
        <v>85</v>
      </c>
      <c r="E19" s="21"/>
      <c r="F19" s="22">
        <v>182</v>
      </c>
      <c r="G19" s="22">
        <v>182</v>
      </c>
      <c r="H19" s="22"/>
      <c r="I19" s="22"/>
      <c r="J19" s="22"/>
      <c r="U19" s="26">
        <f>SUM(U17:U18)</f>
        <v>273</v>
      </c>
    </row>
    <row r="20" spans="1:21">
      <c r="A20" s="375"/>
      <c r="B20" s="374" t="s">
        <v>629</v>
      </c>
      <c r="C20" s="21" t="s">
        <v>800</v>
      </c>
      <c r="D20" s="21" t="s">
        <v>85</v>
      </c>
      <c r="E20" s="21"/>
      <c r="F20" s="22">
        <v>132</v>
      </c>
      <c r="G20" s="22"/>
      <c r="H20" s="22">
        <v>132</v>
      </c>
      <c r="I20" s="22"/>
      <c r="J20" s="22"/>
    </row>
    <row r="21" spans="1:21">
      <c r="A21" s="375"/>
      <c r="B21" s="375"/>
      <c r="C21" s="21" t="s">
        <v>797</v>
      </c>
      <c r="D21" s="21" t="s">
        <v>85</v>
      </c>
      <c r="E21" s="21"/>
      <c r="F21" s="22">
        <v>389</v>
      </c>
      <c r="G21" s="22"/>
      <c r="H21" s="24">
        <v>220</v>
      </c>
      <c r="I21" s="22">
        <v>169</v>
      </c>
      <c r="J21" s="22"/>
      <c r="U21" s="27">
        <f>U16+U19</f>
        <v>1605</v>
      </c>
    </row>
    <row r="22" spans="1:21" ht="27" customHeight="1">
      <c r="A22" s="375"/>
      <c r="B22" s="375"/>
      <c r="C22" s="21" t="s">
        <v>1401</v>
      </c>
      <c r="D22" s="21" t="s">
        <v>85</v>
      </c>
      <c r="E22" s="21"/>
      <c r="F22" s="22">
        <v>69</v>
      </c>
      <c r="G22" s="22">
        <v>69</v>
      </c>
      <c r="H22" s="22"/>
      <c r="I22" s="22"/>
      <c r="J22" s="22"/>
    </row>
    <row r="23" spans="1:21" ht="27" customHeight="1">
      <c r="A23" s="375"/>
      <c r="B23" s="373"/>
      <c r="C23" s="21" t="s">
        <v>1402</v>
      </c>
      <c r="D23" s="21" t="s">
        <v>85</v>
      </c>
      <c r="E23" s="21"/>
      <c r="F23" s="22">
        <v>193</v>
      </c>
      <c r="G23" s="22">
        <v>193</v>
      </c>
      <c r="H23" s="22"/>
      <c r="I23" s="22"/>
      <c r="J23" s="22"/>
    </row>
    <row r="24" spans="1:21">
      <c r="A24" s="375"/>
      <c r="B24" s="374" t="s">
        <v>974</v>
      </c>
      <c r="C24" s="22" t="s">
        <v>1403</v>
      </c>
      <c r="D24" s="21" t="s">
        <v>85</v>
      </c>
      <c r="E24" s="21"/>
      <c r="F24" s="22">
        <v>217</v>
      </c>
      <c r="G24" s="22"/>
      <c r="H24" s="22">
        <v>217</v>
      </c>
      <c r="I24" s="22"/>
      <c r="J24" s="22"/>
    </row>
    <row r="25" spans="1:21">
      <c r="A25" s="375"/>
      <c r="B25" s="375"/>
      <c r="C25" s="22" t="s">
        <v>1404</v>
      </c>
      <c r="D25" s="21" t="s">
        <v>85</v>
      </c>
      <c r="E25" s="21"/>
      <c r="F25" s="22">
        <v>187</v>
      </c>
      <c r="G25" s="22"/>
      <c r="H25" s="22">
        <v>187</v>
      </c>
      <c r="I25" s="22"/>
      <c r="J25" s="22"/>
    </row>
    <row r="26" spans="1:21">
      <c r="A26" s="375"/>
      <c r="B26" s="373"/>
      <c r="C26" s="22" t="s">
        <v>1405</v>
      </c>
      <c r="D26" s="21" t="s">
        <v>85</v>
      </c>
      <c r="E26" s="21"/>
      <c r="F26" s="22">
        <v>62</v>
      </c>
      <c r="G26" s="22"/>
      <c r="H26" s="22">
        <v>62</v>
      </c>
      <c r="I26" s="22"/>
      <c r="J26" s="22"/>
    </row>
    <row r="27" spans="1:21">
      <c r="A27" s="375"/>
      <c r="B27" s="21" t="s">
        <v>937</v>
      </c>
      <c r="C27" s="21" t="s">
        <v>966</v>
      </c>
      <c r="D27" s="21" t="s">
        <v>85</v>
      </c>
      <c r="E27" s="21"/>
      <c r="F27" s="22">
        <v>70</v>
      </c>
      <c r="G27" s="22"/>
      <c r="H27" s="22">
        <v>70</v>
      </c>
      <c r="I27" s="22"/>
      <c r="J27" s="22"/>
    </row>
    <row r="28" spans="1:21">
      <c r="A28" s="375"/>
      <c r="B28" s="374" t="s">
        <v>1315</v>
      </c>
      <c r="C28" s="21" t="s">
        <v>1329</v>
      </c>
      <c r="D28" s="21" t="s">
        <v>73</v>
      </c>
      <c r="E28" s="21"/>
      <c r="F28" s="22">
        <v>48</v>
      </c>
      <c r="G28" s="22"/>
      <c r="H28" s="22">
        <v>48</v>
      </c>
      <c r="I28" s="22"/>
      <c r="J28" s="23"/>
    </row>
    <row r="29" spans="1:21">
      <c r="A29" s="375"/>
      <c r="B29" s="375"/>
      <c r="C29" s="21" t="s">
        <v>1406</v>
      </c>
      <c r="D29" s="21" t="s">
        <v>73</v>
      </c>
      <c r="E29" s="21"/>
      <c r="F29" s="22">
        <v>15</v>
      </c>
      <c r="G29" s="22"/>
      <c r="H29" s="22">
        <v>15</v>
      </c>
      <c r="I29" s="22"/>
      <c r="J29" s="23"/>
    </row>
    <row r="30" spans="1:21">
      <c r="A30" s="375"/>
      <c r="B30" s="373"/>
      <c r="C30" s="21" t="s">
        <v>1327</v>
      </c>
      <c r="D30" s="21" t="s">
        <v>73</v>
      </c>
      <c r="E30" s="21"/>
      <c r="F30" s="22">
        <v>35</v>
      </c>
      <c r="G30" s="22"/>
      <c r="H30" s="22">
        <v>35</v>
      </c>
      <c r="I30" s="22"/>
      <c r="J30" s="23"/>
    </row>
    <row r="31" spans="1:21">
      <c r="A31" s="373"/>
      <c r="B31" s="21" t="s">
        <v>1214</v>
      </c>
      <c r="C31" s="21" t="s">
        <v>1272</v>
      </c>
      <c r="D31" s="21" t="s">
        <v>73</v>
      </c>
      <c r="E31" s="21"/>
      <c r="F31" s="22">
        <v>165</v>
      </c>
      <c r="G31" s="22"/>
      <c r="H31" s="24">
        <v>175</v>
      </c>
      <c r="I31" s="22"/>
      <c r="J31" s="23"/>
    </row>
    <row r="32" spans="1:21" ht="27" customHeight="1">
      <c r="A32" s="376" t="s">
        <v>1375</v>
      </c>
      <c r="B32" s="374" t="s">
        <v>463</v>
      </c>
      <c r="C32" s="21" t="s">
        <v>612</v>
      </c>
      <c r="D32" s="21" t="s">
        <v>73</v>
      </c>
      <c r="E32" s="21"/>
      <c r="F32" s="22">
        <v>45</v>
      </c>
      <c r="G32" s="22"/>
      <c r="H32" s="24">
        <v>51</v>
      </c>
      <c r="I32" s="22"/>
      <c r="J32" s="23"/>
      <c r="M32" s="68">
        <f>H28+H29+H30+H31+H32+H33+H34+H38+H40+H41</f>
        <v>480</v>
      </c>
    </row>
    <row r="33" spans="1:10">
      <c r="A33" s="375"/>
      <c r="B33" s="375"/>
      <c r="C33" s="21" t="s">
        <v>583</v>
      </c>
      <c r="D33" s="21" t="s">
        <v>73</v>
      </c>
      <c r="E33" s="21"/>
      <c r="F33" s="22">
        <v>22</v>
      </c>
      <c r="G33" s="22"/>
      <c r="H33" s="22">
        <v>22</v>
      </c>
      <c r="I33" s="22"/>
      <c r="J33" s="23"/>
    </row>
    <row r="34" spans="1:10">
      <c r="A34" s="375"/>
      <c r="B34" s="373"/>
      <c r="C34" s="21" t="s">
        <v>594</v>
      </c>
      <c r="D34" s="21" t="s">
        <v>73</v>
      </c>
      <c r="E34" s="21"/>
      <c r="F34" s="22">
        <v>73</v>
      </c>
      <c r="G34" s="22"/>
      <c r="H34" s="22">
        <v>73</v>
      </c>
      <c r="I34" s="22"/>
      <c r="J34" s="23"/>
    </row>
    <row r="35" spans="1:10">
      <c r="A35" s="375"/>
      <c r="B35" s="374" t="s">
        <v>974</v>
      </c>
      <c r="C35" s="22" t="s">
        <v>1407</v>
      </c>
      <c r="D35" s="21" t="s">
        <v>85</v>
      </c>
      <c r="E35" s="21"/>
      <c r="F35" s="22">
        <v>356</v>
      </c>
      <c r="G35" s="22">
        <v>356</v>
      </c>
      <c r="H35" s="22"/>
      <c r="I35" s="22"/>
      <c r="J35" s="22"/>
    </row>
    <row r="36" spans="1:10">
      <c r="A36" s="373"/>
      <c r="B36" s="373"/>
      <c r="C36" s="22" t="s">
        <v>1408</v>
      </c>
      <c r="D36" s="21" t="s">
        <v>85</v>
      </c>
      <c r="E36" s="21"/>
      <c r="F36" s="22">
        <v>231</v>
      </c>
      <c r="G36" s="22">
        <v>231</v>
      </c>
      <c r="H36" s="22"/>
      <c r="I36" s="22"/>
      <c r="J36" s="22"/>
    </row>
    <row r="37" spans="1:10">
      <c r="A37" s="376" t="s">
        <v>1374</v>
      </c>
      <c r="B37" s="374" t="s">
        <v>629</v>
      </c>
      <c r="C37" s="21" t="s">
        <v>805</v>
      </c>
      <c r="D37" s="21" t="s">
        <v>85</v>
      </c>
      <c r="E37" s="21"/>
      <c r="F37" s="22">
        <v>238</v>
      </c>
      <c r="G37" s="22">
        <v>238</v>
      </c>
      <c r="H37" s="22"/>
      <c r="I37" s="22"/>
      <c r="J37" s="23"/>
    </row>
    <row r="38" spans="1:10" ht="40.5" customHeight="1">
      <c r="A38" s="375"/>
      <c r="B38" s="375"/>
      <c r="C38" s="21" t="s">
        <v>1409</v>
      </c>
      <c r="D38" s="21" t="s">
        <v>73</v>
      </c>
      <c r="E38" s="21"/>
      <c r="F38" s="22">
        <v>42</v>
      </c>
      <c r="G38" s="25"/>
      <c r="H38" s="24">
        <v>36</v>
      </c>
      <c r="I38" s="22"/>
      <c r="J38" s="23"/>
    </row>
    <row r="39" spans="1:10">
      <c r="A39" s="375"/>
      <c r="B39" s="373"/>
      <c r="C39" s="21" t="s">
        <v>1410</v>
      </c>
      <c r="D39" s="21" t="s">
        <v>85</v>
      </c>
      <c r="E39" s="21"/>
      <c r="F39" s="22">
        <v>729</v>
      </c>
      <c r="G39" s="22">
        <v>729</v>
      </c>
      <c r="H39" s="22"/>
      <c r="I39" s="22"/>
      <c r="J39" s="23"/>
    </row>
    <row r="40" spans="1:10">
      <c r="A40" s="373"/>
      <c r="B40" s="21" t="s">
        <v>1153</v>
      </c>
      <c r="C40" s="21" t="s">
        <v>1167</v>
      </c>
      <c r="D40" s="21" t="s">
        <v>73</v>
      </c>
      <c r="E40" s="21"/>
      <c r="F40" s="22">
        <v>18</v>
      </c>
      <c r="G40" s="22"/>
      <c r="H40" s="22">
        <v>18</v>
      </c>
      <c r="I40" s="22"/>
      <c r="J40" s="23"/>
    </row>
    <row r="41" spans="1:10">
      <c r="A41" s="376" t="s">
        <v>1373</v>
      </c>
      <c r="B41" s="21" t="s">
        <v>1087</v>
      </c>
      <c r="C41" s="21" t="s">
        <v>1411</v>
      </c>
      <c r="D41" s="21" t="s">
        <v>73</v>
      </c>
      <c r="E41" s="21"/>
      <c r="F41" s="22">
        <v>99</v>
      </c>
      <c r="G41" s="22"/>
      <c r="H41" s="24">
        <v>7</v>
      </c>
      <c r="I41" s="22"/>
      <c r="J41" s="23"/>
    </row>
    <row r="42" spans="1:10" ht="26.25" customHeight="1">
      <c r="A42" s="375"/>
      <c r="B42" s="374" t="s">
        <v>1214</v>
      </c>
      <c r="C42" s="21" t="s">
        <v>1412</v>
      </c>
      <c r="D42" s="21" t="s">
        <v>85</v>
      </c>
      <c r="E42" s="21"/>
      <c r="F42" s="22">
        <v>148</v>
      </c>
      <c r="G42" s="22"/>
      <c r="H42" s="24">
        <v>62</v>
      </c>
      <c r="I42" s="22"/>
      <c r="J42" s="22"/>
    </row>
    <row r="43" spans="1:10" ht="26.25" customHeight="1">
      <c r="A43" s="373"/>
      <c r="B43" s="373"/>
      <c r="C43" s="21" t="s">
        <v>1413</v>
      </c>
      <c r="D43" s="21" t="s">
        <v>85</v>
      </c>
      <c r="E43" s="21"/>
      <c r="F43" s="22">
        <v>209</v>
      </c>
      <c r="G43" s="22"/>
      <c r="H43" s="24">
        <v>111</v>
      </c>
      <c r="I43" s="22"/>
      <c r="J43" s="22"/>
    </row>
  </sheetData>
  <autoFilter ref="A2:J43" xr:uid="{00000000-0009-0000-0000-00000A000000}"/>
  <mergeCells count="24">
    <mergeCell ref="B28:B30"/>
    <mergeCell ref="B35:B36"/>
    <mergeCell ref="J1:J2"/>
    <mergeCell ref="B8:B9"/>
    <mergeCell ref="C1:C2"/>
    <mergeCell ref="B24:B26"/>
    <mergeCell ref="F1:I1"/>
    <mergeCell ref="B1:B2"/>
    <mergeCell ref="A1:A2"/>
    <mergeCell ref="B37:B39"/>
    <mergeCell ref="B42:B43"/>
    <mergeCell ref="A32:A36"/>
    <mergeCell ref="A41:A43"/>
    <mergeCell ref="A37:A40"/>
    <mergeCell ref="B10:B11"/>
    <mergeCell ref="B32:B34"/>
    <mergeCell ref="A3:B3"/>
    <mergeCell ref="B5:B6"/>
    <mergeCell ref="A4:A7"/>
    <mergeCell ref="A8:A15"/>
    <mergeCell ref="B20:B23"/>
    <mergeCell ref="A16:A31"/>
    <mergeCell ref="B16:B19"/>
    <mergeCell ref="B12:B13"/>
  </mergeCells>
  <phoneticPr fontId="2" type="noConversion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K27"/>
  <sheetViews>
    <sheetView workbookViewId="0">
      <selection activeCell="M24" sqref="M24"/>
    </sheetView>
  </sheetViews>
  <sheetFormatPr defaultRowHeight="16.5"/>
  <cols>
    <col min="10" max="10" width="28.625" style="96" customWidth="1"/>
  </cols>
  <sheetData>
    <row r="1" spans="2:11">
      <c r="D1" s="68">
        <f>SUM(E1:I1)</f>
        <v>318</v>
      </c>
      <c r="E1" s="68">
        <f>SUM(E2,E18)</f>
        <v>141</v>
      </c>
      <c r="F1" s="68">
        <f>SUM(F2,F18)</f>
        <v>20</v>
      </c>
      <c r="G1" s="68">
        <f>SUM(G2,G18)</f>
        <v>131</v>
      </c>
      <c r="H1" s="68">
        <f>SUM(H2,H18)</f>
        <v>17</v>
      </c>
      <c r="I1" s="68">
        <f>SUM(I2,I18)</f>
        <v>9</v>
      </c>
    </row>
    <row r="2" spans="2:11">
      <c r="B2" s="90" t="s">
        <v>1414</v>
      </c>
      <c r="C2" s="34" t="s">
        <v>1415</v>
      </c>
      <c r="D2" s="35">
        <f>SUM(E2:I2)</f>
        <v>241</v>
      </c>
      <c r="E2" s="35">
        <f>SUM(E3:E17)</f>
        <v>91</v>
      </c>
      <c r="F2" s="35">
        <f>SUM(F3:F17)</f>
        <v>13</v>
      </c>
      <c r="G2" s="35">
        <f>SUM(G3:G17)</f>
        <v>112</v>
      </c>
      <c r="H2" s="35">
        <f>SUM(H3:H17)</f>
        <v>16</v>
      </c>
      <c r="I2" s="35">
        <f>SUM(I3:I17)</f>
        <v>9</v>
      </c>
      <c r="J2" s="35"/>
      <c r="K2" s="35"/>
    </row>
    <row r="3" spans="2:11">
      <c r="B3" s="31" t="s">
        <v>1416</v>
      </c>
      <c r="C3" s="381" t="s">
        <v>71</v>
      </c>
      <c r="D3" s="383">
        <f>SUM(E3:I4)</f>
        <v>25</v>
      </c>
      <c r="E3" s="382">
        <v>12</v>
      </c>
      <c r="F3" s="379">
        <v>1</v>
      </c>
      <c r="G3" s="379">
        <v>7</v>
      </c>
      <c r="H3" s="379">
        <v>3</v>
      </c>
      <c r="I3" s="379">
        <v>2</v>
      </c>
      <c r="J3" s="88" t="s">
        <v>1417</v>
      </c>
      <c r="K3" s="379">
        <v>2020</v>
      </c>
    </row>
    <row r="4" spans="2:11">
      <c r="B4" s="32"/>
      <c r="C4" s="373"/>
      <c r="D4" s="373"/>
      <c r="E4" s="373"/>
      <c r="F4" s="373"/>
      <c r="G4" s="373"/>
      <c r="H4" s="373"/>
      <c r="I4" s="373"/>
      <c r="J4" s="89" t="s">
        <v>1418</v>
      </c>
      <c r="K4" s="373"/>
    </row>
    <row r="5" spans="2:11">
      <c r="B5" s="32"/>
      <c r="C5" s="381" t="s">
        <v>167</v>
      </c>
      <c r="D5" s="380">
        <f>SUM(E5:I6)</f>
        <v>30</v>
      </c>
      <c r="E5" s="379">
        <v>14</v>
      </c>
      <c r="F5" s="379">
        <v>2</v>
      </c>
      <c r="G5" s="379">
        <v>5</v>
      </c>
      <c r="H5" s="379">
        <v>5</v>
      </c>
      <c r="I5" s="379">
        <v>4</v>
      </c>
      <c r="J5" s="88" t="s">
        <v>1419</v>
      </c>
      <c r="K5" s="379">
        <v>2020</v>
      </c>
    </row>
    <row r="6" spans="2:11">
      <c r="B6" s="32"/>
      <c r="C6" s="373"/>
      <c r="D6" s="373"/>
      <c r="E6" s="373"/>
      <c r="F6" s="373"/>
      <c r="G6" s="373"/>
      <c r="H6" s="373"/>
      <c r="I6" s="373"/>
      <c r="J6" s="89" t="s">
        <v>1420</v>
      </c>
      <c r="K6" s="373"/>
    </row>
    <row r="7" spans="2:11">
      <c r="B7" s="32"/>
      <c r="C7" s="381" t="s">
        <v>269</v>
      </c>
      <c r="D7" s="380">
        <f>SUM(E7:I8)</f>
        <v>21</v>
      </c>
      <c r="E7" s="379">
        <v>8</v>
      </c>
      <c r="F7" s="379" t="s">
        <v>70</v>
      </c>
      <c r="G7" s="379">
        <v>3</v>
      </c>
      <c r="H7" s="379">
        <v>7</v>
      </c>
      <c r="I7" s="379">
        <v>3</v>
      </c>
      <c r="J7" s="88" t="s">
        <v>1421</v>
      </c>
      <c r="K7" s="379">
        <v>2020</v>
      </c>
    </row>
    <row r="8" spans="2:11">
      <c r="B8" s="32"/>
      <c r="C8" s="373"/>
      <c r="D8" s="373"/>
      <c r="E8" s="373"/>
      <c r="F8" s="373"/>
      <c r="G8" s="373"/>
      <c r="H8" s="373"/>
      <c r="I8" s="373"/>
      <c r="J8" s="89" t="s">
        <v>1422</v>
      </c>
      <c r="K8" s="373"/>
    </row>
    <row r="9" spans="2:11">
      <c r="B9" s="32"/>
      <c r="C9" s="36" t="s">
        <v>376</v>
      </c>
      <c r="D9" s="37">
        <f>SUM(E9:I9)</f>
        <v>43</v>
      </c>
      <c r="E9" s="38">
        <v>10</v>
      </c>
      <c r="F9" s="38">
        <v>4</v>
      </c>
      <c r="G9" s="38">
        <v>29</v>
      </c>
      <c r="H9" s="38" t="s">
        <v>70</v>
      </c>
      <c r="I9" s="38"/>
      <c r="J9" s="39"/>
      <c r="K9" s="38">
        <v>2030</v>
      </c>
    </row>
    <row r="10" spans="2:11">
      <c r="B10" s="32"/>
      <c r="C10" s="381" t="s">
        <v>463</v>
      </c>
      <c r="D10" s="380">
        <f>SUM(E10:I11)</f>
        <v>40</v>
      </c>
      <c r="E10" s="379" t="s">
        <v>70</v>
      </c>
      <c r="F10" s="379" t="s">
        <v>70</v>
      </c>
      <c r="G10" s="379">
        <v>40</v>
      </c>
      <c r="H10" s="379" t="s">
        <v>70</v>
      </c>
      <c r="I10" s="379"/>
      <c r="J10" s="88" t="s">
        <v>1423</v>
      </c>
      <c r="K10" s="379">
        <v>2020</v>
      </c>
    </row>
    <row r="11" spans="2:11">
      <c r="B11" s="32"/>
      <c r="C11" s="373"/>
      <c r="D11" s="373"/>
      <c r="E11" s="373"/>
      <c r="F11" s="373"/>
      <c r="G11" s="373"/>
      <c r="H11" s="373"/>
      <c r="I11" s="373"/>
      <c r="J11" s="89" t="s">
        <v>1424</v>
      </c>
      <c r="K11" s="373"/>
    </row>
    <row r="12" spans="2:11">
      <c r="B12" s="32"/>
      <c r="C12" s="381" t="s">
        <v>629</v>
      </c>
      <c r="D12" s="380">
        <f>SUM(E12:I13)</f>
        <v>34</v>
      </c>
      <c r="E12" s="379">
        <v>14</v>
      </c>
      <c r="F12" s="379">
        <v>2</v>
      </c>
      <c r="G12" s="379">
        <v>17</v>
      </c>
      <c r="H12" s="379">
        <v>1</v>
      </c>
      <c r="I12" s="379"/>
      <c r="J12" s="88" t="s">
        <v>1425</v>
      </c>
      <c r="K12" s="379">
        <v>2020</v>
      </c>
    </row>
    <row r="13" spans="2:11">
      <c r="B13" s="32"/>
      <c r="C13" s="373"/>
      <c r="D13" s="373"/>
      <c r="E13" s="373"/>
      <c r="F13" s="373"/>
      <c r="G13" s="373"/>
      <c r="H13" s="373"/>
      <c r="I13" s="373"/>
      <c r="J13" s="89" t="s">
        <v>1426</v>
      </c>
      <c r="K13" s="373"/>
    </row>
    <row r="14" spans="2:11">
      <c r="B14" s="32"/>
      <c r="C14" s="36" t="s">
        <v>811</v>
      </c>
      <c r="D14" s="40">
        <f>SUM(E14:I14)</f>
        <v>13</v>
      </c>
      <c r="E14" s="39">
        <v>10</v>
      </c>
      <c r="F14" s="39">
        <v>3</v>
      </c>
      <c r="G14" s="39" t="s">
        <v>70</v>
      </c>
      <c r="H14" s="39" t="s">
        <v>70</v>
      </c>
      <c r="I14" s="39"/>
      <c r="J14" s="39" t="s">
        <v>1427</v>
      </c>
      <c r="K14" s="39">
        <v>2020</v>
      </c>
    </row>
    <row r="15" spans="2:11">
      <c r="B15" s="32"/>
      <c r="C15" s="36" t="s">
        <v>1286</v>
      </c>
      <c r="D15" s="40">
        <f>SUM(E15:I15)</f>
        <v>9</v>
      </c>
      <c r="E15" s="39">
        <v>4</v>
      </c>
      <c r="F15" s="39">
        <v>1</v>
      </c>
      <c r="G15" s="39">
        <v>4</v>
      </c>
      <c r="H15" s="39" t="s">
        <v>70</v>
      </c>
      <c r="I15" s="39"/>
      <c r="J15" s="39" t="s">
        <v>1428</v>
      </c>
      <c r="K15" s="39">
        <v>2020</v>
      </c>
    </row>
    <row r="16" spans="2:11">
      <c r="B16" s="32"/>
      <c r="C16" s="381" t="s">
        <v>1175</v>
      </c>
      <c r="D16" s="380">
        <f>SUM(E16:I17)</f>
        <v>26</v>
      </c>
      <c r="E16" s="379">
        <v>19</v>
      </c>
      <c r="F16" s="379" t="s">
        <v>70</v>
      </c>
      <c r="G16" s="379">
        <v>7</v>
      </c>
      <c r="H16" s="379" t="s">
        <v>70</v>
      </c>
      <c r="I16" s="379"/>
      <c r="J16" s="88" t="s">
        <v>1429</v>
      </c>
      <c r="K16" s="379">
        <v>2020</v>
      </c>
    </row>
    <row r="17" spans="2:11">
      <c r="B17" s="33"/>
      <c r="C17" s="373"/>
      <c r="D17" s="373"/>
      <c r="E17" s="373"/>
      <c r="F17" s="373"/>
      <c r="G17" s="373"/>
      <c r="H17" s="373"/>
      <c r="I17" s="373"/>
      <c r="J17" s="89" t="s">
        <v>1430</v>
      </c>
      <c r="K17" s="373"/>
    </row>
    <row r="18" spans="2:11">
      <c r="B18" s="90" t="s">
        <v>1414</v>
      </c>
      <c r="C18" s="34" t="s">
        <v>1415</v>
      </c>
      <c r="D18" s="35">
        <f>SUM(E18:I18)</f>
        <v>77</v>
      </c>
      <c r="E18" s="35">
        <f>SUM(E19:E27)</f>
        <v>50</v>
      </c>
      <c r="F18" s="35">
        <f>SUM(F19:F27)</f>
        <v>7</v>
      </c>
      <c r="G18" s="35">
        <f>SUM(G19:G27)</f>
        <v>19</v>
      </c>
      <c r="H18" s="35">
        <f>SUM(H19:H27)</f>
        <v>1</v>
      </c>
      <c r="I18" s="35"/>
      <c r="J18" s="35"/>
      <c r="K18" s="35"/>
    </row>
    <row r="19" spans="2:11">
      <c r="B19" s="31" t="s">
        <v>1431</v>
      </c>
      <c r="C19" s="381" t="s">
        <v>937</v>
      </c>
      <c r="D19" s="380">
        <f>SUM(E19:I20)</f>
        <v>10</v>
      </c>
      <c r="E19" s="379">
        <v>7</v>
      </c>
      <c r="F19" s="379" t="s">
        <v>70</v>
      </c>
      <c r="G19" s="379">
        <v>3</v>
      </c>
      <c r="H19" s="379" t="s">
        <v>70</v>
      </c>
      <c r="I19" s="379"/>
      <c r="J19" s="88" t="s">
        <v>1432</v>
      </c>
      <c r="K19" s="379">
        <v>2020</v>
      </c>
    </row>
    <row r="20" spans="2:11">
      <c r="B20" s="32"/>
      <c r="C20" s="373"/>
      <c r="D20" s="373"/>
      <c r="E20" s="373"/>
      <c r="F20" s="373"/>
      <c r="G20" s="373"/>
      <c r="H20" s="373"/>
      <c r="I20" s="373"/>
      <c r="J20" s="89" t="s">
        <v>1433</v>
      </c>
      <c r="K20" s="373"/>
    </row>
    <row r="21" spans="2:11">
      <c r="B21" s="32"/>
      <c r="C21" s="381" t="s">
        <v>1087</v>
      </c>
      <c r="D21" s="380">
        <f>SUM(E21:I22)</f>
        <v>16</v>
      </c>
      <c r="E21" s="379">
        <v>7</v>
      </c>
      <c r="F21" s="379">
        <v>3</v>
      </c>
      <c r="G21" s="379">
        <v>6</v>
      </c>
      <c r="H21" s="379" t="s">
        <v>70</v>
      </c>
      <c r="I21" s="379"/>
      <c r="J21" s="88" t="s">
        <v>1434</v>
      </c>
      <c r="K21" s="379">
        <v>2020</v>
      </c>
    </row>
    <row r="22" spans="2:11">
      <c r="B22" s="32"/>
      <c r="C22" s="373"/>
      <c r="D22" s="373"/>
      <c r="E22" s="373"/>
      <c r="F22" s="373"/>
      <c r="G22" s="373"/>
      <c r="H22" s="373"/>
      <c r="I22" s="373"/>
      <c r="J22" s="89" t="s">
        <v>1435</v>
      </c>
      <c r="K22" s="373"/>
    </row>
    <row r="23" spans="2:11">
      <c r="B23" s="32"/>
      <c r="C23" s="36" t="s">
        <v>1148</v>
      </c>
      <c r="D23" s="37">
        <f>SUM(E23:I23)</f>
        <v>2</v>
      </c>
      <c r="E23" s="39">
        <v>2</v>
      </c>
      <c r="F23" s="39" t="s">
        <v>70</v>
      </c>
      <c r="G23" s="39" t="s">
        <v>70</v>
      </c>
      <c r="H23" s="39" t="s">
        <v>70</v>
      </c>
      <c r="I23" s="39"/>
      <c r="J23" s="39" t="s">
        <v>1436</v>
      </c>
      <c r="K23" s="39">
        <v>2020</v>
      </c>
    </row>
    <row r="24" spans="2:11">
      <c r="B24" s="32"/>
      <c r="C24" s="36" t="s">
        <v>1153</v>
      </c>
      <c r="D24" s="37">
        <f>SUM(E24:I24)</f>
        <v>10</v>
      </c>
      <c r="E24" s="39">
        <v>1</v>
      </c>
      <c r="F24" s="39" t="s">
        <v>70</v>
      </c>
      <c r="G24" s="39">
        <v>9</v>
      </c>
      <c r="H24" s="39" t="s">
        <v>70</v>
      </c>
      <c r="I24" s="39"/>
      <c r="J24" s="39" t="s">
        <v>1437</v>
      </c>
      <c r="K24" s="39">
        <v>2020</v>
      </c>
    </row>
    <row r="25" spans="2:11">
      <c r="B25" s="32"/>
      <c r="C25" s="36" t="s">
        <v>1214</v>
      </c>
      <c r="D25" s="37">
        <f>SUM(E25:I25)</f>
        <v>14</v>
      </c>
      <c r="E25" s="39">
        <v>12</v>
      </c>
      <c r="F25" s="39" t="s">
        <v>70</v>
      </c>
      <c r="G25" s="39">
        <v>1</v>
      </c>
      <c r="H25" s="39">
        <v>1</v>
      </c>
      <c r="I25" s="39"/>
      <c r="J25" s="39" t="s">
        <v>1438</v>
      </c>
      <c r="K25" s="39">
        <v>2010</v>
      </c>
    </row>
    <row r="26" spans="2:11">
      <c r="B26" s="32"/>
      <c r="C26" s="36" t="s">
        <v>1331</v>
      </c>
      <c r="D26" s="37">
        <f>SUM(E26:I26)</f>
        <v>14</v>
      </c>
      <c r="E26" s="39">
        <v>12</v>
      </c>
      <c r="F26" s="39">
        <v>2</v>
      </c>
      <c r="G26" s="39" t="s">
        <v>70</v>
      </c>
      <c r="H26" s="39" t="s">
        <v>70</v>
      </c>
      <c r="I26" s="39"/>
      <c r="J26" s="39" t="s">
        <v>1439</v>
      </c>
      <c r="K26" s="39">
        <v>2020</v>
      </c>
    </row>
    <row r="27" spans="2:11">
      <c r="B27" s="33"/>
      <c r="C27" s="36" t="s">
        <v>1372</v>
      </c>
      <c r="D27" s="37">
        <f>SUM(E27:I27)</f>
        <v>11</v>
      </c>
      <c r="E27" s="39">
        <v>9</v>
      </c>
      <c r="F27" s="39">
        <v>2</v>
      </c>
      <c r="G27" s="39" t="s">
        <v>70</v>
      </c>
      <c r="H27" s="39" t="s">
        <v>70</v>
      </c>
      <c r="I27" s="39"/>
      <c r="J27" s="39" t="s">
        <v>1440</v>
      </c>
      <c r="K27" s="39">
        <v>2020</v>
      </c>
    </row>
  </sheetData>
  <mergeCells count="64">
    <mergeCell ref="E5:E6"/>
    <mergeCell ref="K21:K22"/>
    <mergeCell ref="F12:F13"/>
    <mergeCell ref="D21:D22"/>
    <mergeCell ref="F3:F4"/>
    <mergeCell ref="G7:G8"/>
    <mergeCell ref="I16:I17"/>
    <mergeCell ref="I7:I8"/>
    <mergeCell ref="H21:H22"/>
    <mergeCell ref="E19:E20"/>
    <mergeCell ref="F21:F22"/>
    <mergeCell ref="G3:G4"/>
    <mergeCell ref="I12:I13"/>
    <mergeCell ref="I3:I4"/>
    <mergeCell ref="D3:D4"/>
    <mergeCell ref="K12:K13"/>
    <mergeCell ref="C21:C22"/>
    <mergeCell ref="I21:I22"/>
    <mergeCell ref="I5:I6"/>
    <mergeCell ref="H19:H20"/>
    <mergeCell ref="G5:G6"/>
    <mergeCell ref="H16:H17"/>
    <mergeCell ref="F10:F11"/>
    <mergeCell ref="H12:H13"/>
    <mergeCell ref="I19:I20"/>
    <mergeCell ref="E21:E22"/>
    <mergeCell ref="G21:G22"/>
    <mergeCell ref="C10:C11"/>
    <mergeCell ref="F5:F6"/>
    <mergeCell ref="E10:E11"/>
    <mergeCell ref="G19:G20"/>
    <mergeCell ref="C16:C17"/>
    <mergeCell ref="H3:H4"/>
    <mergeCell ref="C7:C8"/>
    <mergeCell ref="E7:E8"/>
    <mergeCell ref="K7:K8"/>
    <mergeCell ref="E16:E17"/>
    <mergeCell ref="G16:G17"/>
    <mergeCell ref="I10:I11"/>
    <mergeCell ref="K3:K4"/>
    <mergeCell ref="C3:C4"/>
    <mergeCell ref="E3:E4"/>
    <mergeCell ref="H7:H8"/>
    <mergeCell ref="D12:D13"/>
    <mergeCell ref="G10:G11"/>
    <mergeCell ref="C12:C13"/>
    <mergeCell ref="D7:D8"/>
    <mergeCell ref="D16:D17"/>
    <mergeCell ref="K19:K20"/>
    <mergeCell ref="D5:D6"/>
    <mergeCell ref="K10:K11"/>
    <mergeCell ref="C19:C20"/>
    <mergeCell ref="D19:D20"/>
    <mergeCell ref="H5:H6"/>
    <mergeCell ref="D10:D11"/>
    <mergeCell ref="F19:F20"/>
    <mergeCell ref="K5:K6"/>
    <mergeCell ref="E12:E13"/>
    <mergeCell ref="G12:G13"/>
    <mergeCell ref="K16:K17"/>
    <mergeCell ref="F7:F8"/>
    <mergeCell ref="F16:F17"/>
    <mergeCell ref="H10:H11"/>
    <mergeCell ref="C5:C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29"/>
  <sheetViews>
    <sheetView workbookViewId="0">
      <selection activeCell="M24" sqref="M24"/>
    </sheetView>
  </sheetViews>
  <sheetFormatPr defaultRowHeight="16.5"/>
  <sheetData>
    <row r="1" spans="1:11" ht="17.25" customHeight="1">
      <c r="A1" s="68"/>
      <c r="B1" s="346" t="s">
        <v>73</v>
      </c>
      <c r="C1" s="344"/>
      <c r="D1" s="344"/>
      <c r="E1" s="344"/>
      <c r="F1" s="344"/>
      <c r="G1" s="344"/>
      <c r="H1" s="344"/>
      <c r="I1" s="344"/>
      <c r="J1" s="347"/>
      <c r="K1" s="68"/>
    </row>
    <row r="2" spans="1:11">
      <c r="A2" s="68"/>
      <c r="B2" s="340" t="s">
        <v>1356</v>
      </c>
      <c r="C2" s="336" t="s">
        <v>72</v>
      </c>
      <c r="D2" s="384"/>
      <c r="E2" s="338"/>
      <c r="F2" s="338"/>
      <c r="G2" s="338"/>
      <c r="H2" s="338"/>
      <c r="I2" s="338"/>
      <c r="J2" s="339"/>
      <c r="K2" s="68"/>
    </row>
    <row r="3" spans="1:11" ht="33" customHeight="1">
      <c r="A3" s="68"/>
      <c r="B3" s="341"/>
      <c r="C3" s="337"/>
      <c r="D3" s="84" t="s">
        <v>62</v>
      </c>
      <c r="E3" s="84" t="s">
        <v>88</v>
      </c>
      <c r="F3" s="84" t="s">
        <v>64</v>
      </c>
      <c r="G3" s="84" t="s">
        <v>65</v>
      </c>
      <c r="H3" s="84" t="s">
        <v>66</v>
      </c>
      <c r="I3" s="84" t="s">
        <v>67</v>
      </c>
      <c r="J3" s="85" t="s">
        <v>40</v>
      </c>
      <c r="K3" s="68"/>
    </row>
    <row r="4" spans="1:11" ht="18" customHeight="1" thickBot="1">
      <c r="A4" s="68"/>
      <c r="B4" s="177">
        <v>175</v>
      </c>
      <c r="C4" s="178">
        <v>45</v>
      </c>
      <c r="D4" s="179">
        <v>2</v>
      </c>
      <c r="E4" s="180">
        <v>13</v>
      </c>
      <c r="F4" s="180">
        <v>21</v>
      </c>
      <c r="G4" s="180">
        <v>7</v>
      </c>
      <c r="H4" s="180">
        <v>13</v>
      </c>
      <c r="I4" s="180">
        <v>21</v>
      </c>
      <c r="J4" s="181">
        <f>SUM(J5:J29)</f>
        <v>122</v>
      </c>
      <c r="K4" s="181">
        <f>SUM(K5:K29)</f>
        <v>62</v>
      </c>
    </row>
    <row r="5" spans="1:11" ht="17.25" customHeight="1">
      <c r="A5" s="41" t="s">
        <v>71</v>
      </c>
      <c r="B5" s="130">
        <v>16</v>
      </c>
      <c r="C5" s="131">
        <v>1</v>
      </c>
      <c r="D5" s="132">
        <v>2</v>
      </c>
      <c r="E5" s="135">
        <v>0</v>
      </c>
      <c r="F5" s="135">
        <v>4</v>
      </c>
      <c r="G5" s="135">
        <v>0</v>
      </c>
      <c r="H5" s="135">
        <v>0</v>
      </c>
      <c r="I5" s="135">
        <v>0</v>
      </c>
      <c r="J5" s="134">
        <v>7</v>
      </c>
      <c r="K5" s="176">
        <v>4</v>
      </c>
    </row>
    <row r="6" spans="1:11" ht="17.25" customHeight="1">
      <c r="A6" s="42" t="s">
        <v>167</v>
      </c>
      <c r="B6" s="154">
        <v>8</v>
      </c>
      <c r="C6" s="145">
        <v>1</v>
      </c>
      <c r="D6" s="146">
        <v>0</v>
      </c>
      <c r="E6" s="147">
        <v>1</v>
      </c>
      <c r="F6" s="147">
        <v>1</v>
      </c>
      <c r="G6" s="147">
        <v>0</v>
      </c>
      <c r="H6" s="147">
        <v>0</v>
      </c>
      <c r="I6" s="147">
        <v>3</v>
      </c>
      <c r="J6" s="134">
        <v>6</v>
      </c>
      <c r="K6" s="176">
        <v>4</v>
      </c>
    </row>
    <row r="7" spans="1:11" ht="17.25" customHeight="1">
      <c r="A7" s="42" t="s">
        <v>269</v>
      </c>
      <c r="B7" s="154">
        <v>3</v>
      </c>
      <c r="C7" s="145">
        <v>0</v>
      </c>
      <c r="D7" s="146">
        <v>0</v>
      </c>
      <c r="E7" s="147">
        <v>0</v>
      </c>
      <c r="F7" s="147">
        <v>0</v>
      </c>
      <c r="G7" s="147">
        <v>0</v>
      </c>
      <c r="H7" s="147">
        <v>0</v>
      </c>
      <c r="I7" s="147">
        <v>1</v>
      </c>
      <c r="J7" s="134">
        <v>1</v>
      </c>
      <c r="K7" s="176">
        <v>1</v>
      </c>
    </row>
    <row r="8" spans="1:11" ht="17.25" customHeight="1">
      <c r="A8" s="42" t="s">
        <v>376</v>
      </c>
      <c r="B8" s="154">
        <v>29</v>
      </c>
      <c r="C8" s="145">
        <v>19</v>
      </c>
      <c r="D8" s="146">
        <v>0</v>
      </c>
      <c r="E8" s="147">
        <v>2</v>
      </c>
      <c r="F8" s="147">
        <v>1</v>
      </c>
      <c r="G8" s="147">
        <v>0</v>
      </c>
      <c r="H8" s="147">
        <v>0</v>
      </c>
      <c r="I8" s="147">
        <v>1</v>
      </c>
      <c r="J8" s="134">
        <v>23</v>
      </c>
      <c r="K8" s="176">
        <v>2</v>
      </c>
    </row>
    <row r="9" spans="1:11" ht="17.25" customHeight="1">
      <c r="A9" s="42" t="s">
        <v>463</v>
      </c>
      <c r="B9" s="154">
        <v>43</v>
      </c>
      <c r="C9" s="145">
        <v>16</v>
      </c>
      <c r="D9" s="146">
        <v>0</v>
      </c>
      <c r="E9" s="147">
        <v>3</v>
      </c>
      <c r="F9" s="147">
        <v>5</v>
      </c>
      <c r="G9" s="147">
        <v>2</v>
      </c>
      <c r="H9" s="147">
        <v>3</v>
      </c>
      <c r="I9" s="147">
        <v>9</v>
      </c>
      <c r="J9" s="134">
        <v>38</v>
      </c>
      <c r="K9" s="176">
        <v>19</v>
      </c>
    </row>
    <row r="10" spans="1:11" ht="17.25" customHeight="1">
      <c r="A10" s="42" t="s">
        <v>629</v>
      </c>
      <c r="B10" s="154">
        <v>17</v>
      </c>
      <c r="C10" s="145">
        <v>1</v>
      </c>
      <c r="D10" s="146">
        <v>0</v>
      </c>
      <c r="E10" s="147">
        <v>1</v>
      </c>
      <c r="F10" s="147">
        <v>2</v>
      </c>
      <c r="G10" s="147">
        <v>1</v>
      </c>
      <c r="H10" s="147">
        <v>3</v>
      </c>
      <c r="I10" s="147">
        <v>2</v>
      </c>
      <c r="J10" s="134">
        <v>10</v>
      </c>
      <c r="K10" s="176">
        <v>8</v>
      </c>
    </row>
    <row r="11" spans="1:11" ht="17.25" customHeight="1">
      <c r="A11" s="42" t="s">
        <v>811</v>
      </c>
      <c r="B11" s="154">
        <v>1</v>
      </c>
      <c r="C11" s="145">
        <v>0</v>
      </c>
      <c r="D11" s="146">
        <v>0</v>
      </c>
      <c r="E11" s="147">
        <v>1</v>
      </c>
      <c r="F11" s="147">
        <v>0</v>
      </c>
      <c r="G11" s="147">
        <v>0</v>
      </c>
      <c r="H11" s="147">
        <v>0</v>
      </c>
      <c r="I11" s="147">
        <v>0</v>
      </c>
      <c r="J11" s="134">
        <v>1</v>
      </c>
      <c r="K11" s="176">
        <v>0</v>
      </c>
    </row>
    <row r="12" spans="1:11" ht="17.25" customHeight="1">
      <c r="A12" s="43" t="s">
        <v>853</v>
      </c>
      <c r="B12" s="154">
        <v>7</v>
      </c>
      <c r="C12" s="145">
        <v>0</v>
      </c>
      <c r="D12" s="146">
        <v>0</v>
      </c>
      <c r="E12" s="147">
        <v>0</v>
      </c>
      <c r="F12" s="147">
        <v>1</v>
      </c>
      <c r="G12" s="147">
        <v>2</v>
      </c>
      <c r="H12" s="147">
        <v>0</v>
      </c>
      <c r="I12" s="147">
        <v>0</v>
      </c>
      <c r="J12" s="134">
        <v>3</v>
      </c>
      <c r="K12" s="176">
        <v>3</v>
      </c>
    </row>
    <row r="13" spans="1:11" ht="17.25" customHeight="1">
      <c r="A13" s="44" t="s">
        <v>937</v>
      </c>
      <c r="B13" s="154">
        <v>3</v>
      </c>
      <c r="C13" s="145">
        <v>2</v>
      </c>
      <c r="D13" s="146">
        <v>0</v>
      </c>
      <c r="E13" s="147">
        <v>0</v>
      </c>
      <c r="F13" s="147">
        <v>1</v>
      </c>
      <c r="G13" s="147">
        <v>0</v>
      </c>
      <c r="H13" s="147">
        <v>0</v>
      </c>
      <c r="I13" s="147">
        <v>0</v>
      </c>
      <c r="J13" s="134">
        <v>3</v>
      </c>
      <c r="K13" s="176">
        <v>1</v>
      </c>
    </row>
    <row r="14" spans="1:11" ht="17.25" customHeight="1">
      <c r="A14" s="46" t="s">
        <v>969</v>
      </c>
      <c r="B14" s="154">
        <v>0</v>
      </c>
      <c r="C14" s="145">
        <v>0</v>
      </c>
      <c r="D14" s="146">
        <v>0</v>
      </c>
      <c r="E14" s="147">
        <v>0</v>
      </c>
      <c r="F14" s="147">
        <v>0</v>
      </c>
      <c r="G14" s="147">
        <v>0</v>
      </c>
      <c r="H14" s="147">
        <v>0</v>
      </c>
      <c r="I14" s="147">
        <v>0</v>
      </c>
      <c r="J14" s="134">
        <v>0</v>
      </c>
      <c r="K14" s="176">
        <v>0</v>
      </c>
    </row>
    <row r="15" spans="1:11" ht="17.25" customHeight="1">
      <c r="A15" s="43" t="s">
        <v>974</v>
      </c>
      <c r="B15" s="154">
        <v>10</v>
      </c>
      <c r="C15" s="145">
        <v>0</v>
      </c>
      <c r="D15" s="146">
        <v>0</v>
      </c>
      <c r="E15" s="147">
        <v>0</v>
      </c>
      <c r="F15" s="147">
        <v>2</v>
      </c>
      <c r="G15" s="147">
        <v>0</v>
      </c>
      <c r="H15" s="147">
        <v>1</v>
      </c>
      <c r="I15" s="147">
        <v>1</v>
      </c>
      <c r="J15" s="134">
        <v>4</v>
      </c>
      <c r="K15" s="176">
        <v>4</v>
      </c>
    </row>
    <row r="16" spans="1:11" ht="17.25" customHeight="1">
      <c r="A16" s="43" t="s">
        <v>1024</v>
      </c>
      <c r="B16" s="154">
        <v>1</v>
      </c>
      <c r="C16" s="145">
        <v>0</v>
      </c>
      <c r="D16" s="146">
        <v>0</v>
      </c>
      <c r="E16" s="147">
        <v>0</v>
      </c>
      <c r="F16" s="147">
        <v>0</v>
      </c>
      <c r="G16" s="147">
        <v>0</v>
      </c>
      <c r="H16" s="147">
        <v>0</v>
      </c>
      <c r="I16" s="147">
        <v>0</v>
      </c>
      <c r="J16" s="134">
        <v>0</v>
      </c>
      <c r="K16" s="176">
        <v>0</v>
      </c>
    </row>
    <row r="17" spans="1:11" ht="17.25" customHeight="1">
      <c r="A17" s="43" t="s">
        <v>1069</v>
      </c>
      <c r="B17" s="154">
        <v>0</v>
      </c>
      <c r="C17" s="145">
        <v>0</v>
      </c>
      <c r="D17" s="146">
        <v>0</v>
      </c>
      <c r="E17" s="147">
        <v>0</v>
      </c>
      <c r="F17" s="147">
        <v>0</v>
      </c>
      <c r="G17" s="147">
        <v>0</v>
      </c>
      <c r="H17" s="147">
        <v>0</v>
      </c>
      <c r="I17" s="147">
        <v>0</v>
      </c>
      <c r="J17" s="134">
        <v>0</v>
      </c>
      <c r="K17" s="176">
        <v>0</v>
      </c>
    </row>
    <row r="18" spans="1:11" ht="17.25" customHeight="1">
      <c r="A18" s="43" t="s">
        <v>1083</v>
      </c>
      <c r="B18" s="154">
        <v>0</v>
      </c>
      <c r="C18" s="145">
        <v>0</v>
      </c>
      <c r="D18" s="146">
        <v>0</v>
      </c>
      <c r="E18" s="147">
        <v>0</v>
      </c>
      <c r="F18" s="147">
        <v>0</v>
      </c>
      <c r="G18" s="147">
        <v>0</v>
      </c>
      <c r="H18" s="147">
        <v>0</v>
      </c>
      <c r="I18" s="147">
        <v>0</v>
      </c>
      <c r="J18" s="134">
        <v>0</v>
      </c>
      <c r="K18" s="176">
        <v>0</v>
      </c>
    </row>
    <row r="19" spans="1:11" ht="17.25" customHeight="1">
      <c r="A19" s="43" t="s">
        <v>1086</v>
      </c>
      <c r="B19" s="154">
        <v>0</v>
      </c>
      <c r="C19" s="145">
        <v>0</v>
      </c>
      <c r="D19" s="146">
        <v>0</v>
      </c>
      <c r="E19" s="147">
        <v>0</v>
      </c>
      <c r="F19" s="147">
        <v>0</v>
      </c>
      <c r="G19" s="147">
        <v>0</v>
      </c>
      <c r="H19" s="147">
        <v>0</v>
      </c>
      <c r="I19" s="147">
        <v>0</v>
      </c>
      <c r="J19" s="134">
        <v>0</v>
      </c>
      <c r="K19" s="176">
        <v>0</v>
      </c>
    </row>
    <row r="20" spans="1:11" ht="17.25" customHeight="1">
      <c r="A20" s="44" t="s">
        <v>1087</v>
      </c>
      <c r="B20" s="154">
        <v>6</v>
      </c>
      <c r="C20" s="145">
        <v>1</v>
      </c>
      <c r="D20" s="146">
        <v>0</v>
      </c>
      <c r="E20" s="147">
        <v>0</v>
      </c>
      <c r="F20" s="147">
        <v>0</v>
      </c>
      <c r="G20" s="147">
        <v>0</v>
      </c>
      <c r="H20" s="147">
        <v>0</v>
      </c>
      <c r="I20" s="147">
        <v>1</v>
      </c>
      <c r="J20" s="134">
        <v>2</v>
      </c>
      <c r="K20" s="176">
        <v>1</v>
      </c>
    </row>
    <row r="21" spans="1:11" ht="17.25" customHeight="1">
      <c r="A21" s="44" t="s">
        <v>1148</v>
      </c>
      <c r="B21" s="154">
        <v>0</v>
      </c>
      <c r="C21" s="145">
        <v>0</v>
      </c>
      <c r="D21" s="146">
        <v>0</v>
      </c>
      <c r="E21" s="147">
        <v>0</v>
      </c>
      <c r="F21" s="147">
        <v>0</v>
      </c>
      <c r="G21" s="147">
        <v>0</v>
      </c>
      <c r="H21" s="147">
        <v>0</v>
      </c>
      <c r="I21" s="147">
        <v>0</v>
      </c>
      <c r="J21" s="134">
        <v>0</v>
      </c>
      <c r="K21" s="176">
        <v>0</v>
      </c>
    </row>
    <row r="22" spans="1:11" ht="17.25" customHeight="1">
      <c r="A22" s="44" t="s">
        <v>1153</v>
      </c>
      <c r="B22" s="154">
        <v>9</v>
      </c>
      <c r="C22" s="145">
        <v>1</v>
      </c>
      <c r="D22" s="146">
        <v>0</v>
      </c>
      <c r="E22" s="147">
        <v>2</v>
      </c>
      <c r="F22" s="147">
        <v>1</v>
      </c>
      <c r="G22" s="147">
        <v>0</v>
      </c>
      <c r="H22" s="147">
        <v>1</v>
      </c>
      <c r="I22" s="147">
        <v>3</v>
      </c>
      <c r="J22" s="134">
        <v>8</v>
      </c>
      <c r="K22" s="176">
        <v>5</v>
      </c>
    </row>
    <row r="23" spans="1:11" ht="17.25" customHeight="1">
      <c r="A23" s="42" t="s">
        <v>1286</v>
      </c>
      <c r="B23" s="154">
        <v>6</v>
      </c>
      <c r="C23" s="145">
        <v>1</v>
      </c>
      <c r="D23" s="146">
        <v>0</v>
      </c>
      <c r="E23" s="147">
        <v>0</v>
      </c>
      <c r="F23" s="147">
        <v>1</v>
      </c>
      <c r="G23" s="147">
        <v>0</v>
      </c>
      <c r="H23" s="147">
        <v>1</v>
      </c>
      <c r="I23" s="147">
        <v>0</v>
      </c>
      <c r="J23" s="134">
        <v>3</v>
      </c>
      <c r="K23" s="176">
        <v>2</v>
      </c>
    </row>
    <row r="24" spans="1:11" ht="17.25" customHeight="1">
      <c r="A24" s="42" t="s">
        <v>1175</v>
      </c>
      <c r="B24" s="154">
        <v>10</v>
      </c>
      <c r="C24" s="145">
        <v>2</v>
      </c>
      <c r="D24" s="146">
        <v>0</v>
      </c>
      <c r="E24" s="147">
        <v>2</v>
      </c>
      <c r="F24" s="147">
        <v>1</v>
      </c>
      <c r="G24" s="147">
        <v>0</v>
      </c>
      <c r="H24" s="147">
        <v>2</v>
      </c>
      <c r="I24" s="147">
        <v>0</v>
      </c>
      <c r="J24" s="134">
        <v>7</v>
      </c>
      <c r="K24" s="176">
        <v>3</v>
      </c>
    </row>
    <row r="25" spans="1:11" ht="17.25" customHeight="1">
      <c r="A25" s="44" t="s">
        <v>1214</v>
      </c>
      <c r="B25" s="154">
        <v>1</v>
      </c>
      <c r="C25" s="145">
        <v>0</v>
      </c>
      <c r="D25" s="146">
        <v>0</v>
      </c>
      <c r="E25" s="147">
        <v>0</v>
      </c>
      <c r="F25" s="147">
        <v>0</v>
      </c>
      <c r="G25" s="147">
        <v>0</v>
      </c>
      <c r="H25" s="147">
        <v>1</v>
      </c>
      <c r="I25" s="147">
        <v>0</v>
      </c>
      <c r="J25" s="134">
        <v>1</v>
      </c>
      <c r="K25" s="176">
        <v>1</v>
      </c>
    </row>
    <row r="26" spans="1:11" ht="17.25" customHeight="1">
      <c r="A26" s="44" t="s">
        <v>1331</v>
      </c>
      <c r="B26" s="154">
        <v>0</v>
      </c>
      <c r="C26" s="145">
        <v>0</v>
      </c>
      <c r="D26" s="146">
        <v>0</v>
      </c>
      <c r="E26" s="147">
        <v>0</v>
      </c>
      <c r="F26" s="147">
        <v>0</v>
      </c>
      <c r="G26" s="147">
        <v>0</v>
      </c>
      <c r="H26" s="147">
        <v>0</v>
      </c>
      <c r="I26" s="147">
        <v>0</v>
      </c>
      <c r="J26" s="134">
        <v>0</v>
      </c>
      <c r="K26" s="176">
        <v>0</v>
      </c>
    </row>
    <row r="27" spans="1:11" ht="17.25" customHeight="1">
      <c r="A27" s="44" t="s">
        <v>1372</v>
      </c>
      <c r="B27" s="154">
        <v>0</v>
      </c>
      <c r="C27" s="145">
        <v>0</v>
      </c>
      <c r="D27" s="146">
        <v>0</v>
      </c>
      <c r="E27" s="147">
        <v>0</v>
      </c>
      <c r="F27" s="147">
        <v>0</v>
      </c>
      <c r="G27" s="147">
        <v>0</v>
      </c>
      <c r="H27" s="147">
        <v>0</v>
      </c>
      <c r="I27" s="147">
        <v>0</v>
      </c>
      <c r="J27" s="134">
        <v>0</v>
      </c>
      <c r="K27" s="176">
        <v>0</v>
      </c>
    </row>
    <row r="28" spans="1:11" ht="17.25" customHeight="1">
      <c r="A28" s="43" t="s">
        <v>1315</v>
      </c>
      <c r="B28" s="154">
        <v>3</v>
      </c>
      <c r="C28" s="145">
        <v>0</v>
      </c>
      <c r="D28" s="146">
        <v>0</v>
      </c>
      <c r="E28" s="147">
        <v>0</v>
      </c>
      <c r="F28" s="147">
        <v>0</v>
      </c>
      <c r="G28" s="147">
        <v>2</v>
      </c>
      <c r="H28" s="147">
        <v>1</v>
      </c>
      <c r="I28" s="147">
        <v>0</v>
      </c>
      <c r="J28" s="134">
        <v>3</v>
      </c>
      <c r="K28" s="176">
        <v>3</v>
      </c>
    </row>
    <row r="29" spans="1:11" ht="18" customHeight="1" thickBot="1">
      <c r="A29" s="45" t="s">
        <v>1281</v>
      </c>
      <c r="B29" s="182">
        <v>2</v>
      </c>
      <c r="C29" s="158">
        <v>0</v>
      </c>
      <c r="D29" s="159">
        <v>0</v>
      </c>
      <c r="E29" s="160">
        <v>1</v>
      </c>
      <c r="F29" s="160">
        <v>1</v>
      </c>
      <c r="G29" s="160">
        <v>0</v>
      </c>
      <c r="H29" s="160">
        <v>0</v>
      </c>
      <c r="I29" s="160">
        <v>0</v>
      </c>
      <c r="J29" s="134">
        <v>2</v>
      </c>
      <c r="K29" s="176">
        <v>1</v>
      </c>
    </row>
  </sheetData>
  <mergeCells count="4">
    <mergeCell ref="C2:C3"/>
    <mergeCell ref="B1:J1"/>
    <mergeCell ref="B2:B3"/>
    <mergeCell ref="D2:J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51</vt:i4>
      </vt:variant>
    </vt:vector>
  </HeadingPairs>
  <TitlesOfParts>
    <vt:vector size="56" baseType="lpstr">
      <vt:lpstr>총괄표</vt:lpstr>
      <vt:lpstr>일반정비구역</vt:lpstr>
      <vt:lpstr>Sheet2</vt:lpstr>
      <vt:lpstr>Sheet3</vt:lpstr>
      <vt:lpstr>Sheet4</vt:lpstr>
      <vt:lpstr>일반정비구역!Print_Area</vt:lpstr>
      <vt:lpstr>총괄표!Print_Area</vt:lpstr>
      <vt:lpstr>관리처분인가</vt:lpstr>
      <vt:lpstr>구역면적</vt:lpstr>
      <vt:lpstr>기본계획수립</vt:lpstr>
      <vt:lpstr>기존용적률</vt:lpstr>
      <vt:lpstr>기존주택135</vt:lpstr>
      <vt:lpstr>기존주택40</vt:lpstr>
      <vt:lpstr>기존주택60</vt:lpstr>
      <vt:lpstr>기존주택85</vt:lpstr>
      <vt:lpstr>기존주택계</vt:lpstr>
      <vt:lpstr>기존주택동수</vt:lpstr>
      <vt:lpstr>기존주택준공연도</vt:lpstr>
      <vt:lpstr>기존주택초과</vt:lpstr>
      <vt:lpstr>담당자</vt:lpstr>
      <vt:lpstr>사업단계</vt:lpstr>
      <vt:lpstr>사업시작</vt:lpstr>
      <vt:lpstr>사업시행인가</vt:lpstr>
      <vt:lpstr>사업완료</vt:lpstr>
      <vt:lpstr>사업유형</vt:lpstr>
      <vt:lpstr>시군</vt:lpstr>
      <vt:lpstr>시행자</vt:lpstr>
      <vt:lpstr>신축분양135</vt:lpstr>
      <vt:lpstr>신축분양40</vt:lpstr>
      <vt:lpstr>신축분양60</vt:lpstr>
      <vt:lpstr>신축분양85</vt:lpstr>
      <vt:lpstr>신축분양계</vt:lpstr>
      <vt:lpstr>신축분양초과</vt:lpstr>
      <vt:lpstr>신축세대수</vt:lpstr>
      <vt:lpstr>신축용적률</vt:lpstr>
      <vt:lpstr>신축임대40</vt:lpstr>
      <vt:lpstr>신축임대60</vt:lpstr>
      <vt:lpstr>신축임대85</vt:lpstr>
      <vt:lpstr>신축임대계</vt:lpstr>
      <vt:lpstr>안전진단</vt:lpstr>
      <vt:lpstr>예비평가</vt:lpstr>
      <vt:lpstr>위치</vt:lpstr>
      <vt:lpstr>이전고시</vt:lpstr>
      <vt:lpstr>일반분양</vt:lpstr>
      <vt:lpstr>정비계획수립</vt:lpstr>
      <vt:lpstr>정비구역명</vt:lpstr>
      <vt:lpstr>정비구역변경지정</vt:lpstr>
      <vt:lpstr>정비구역지정예정</vt:lpstr>
      <vt:lpstr>정비구역최초지정</vt:lpstr>
      <vt:lpstr>조합설립인가</vt:lpstr>
      <vt:lpstr>조합원</vt:lpstr>
      <vt:lpstr>준공</vt:lpstr>
      <vt:lpstr>증가물량</vt:lpstr>
      <vt:lpstr>착공</vt:lpstr>
      <vt:lpstr>추진위승인</vt:lpstr>
      <vt:lpstr>토지등소유자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예린</cp:lastModifiedBy>
  <cp:lastPrinted>2026-05-15T02:29:24Z</cp:lastPrinted>
  <dcterms:created xsi:type="dcterms:W3CDTF">2015-09-09T02:11:04Z</dcterms:created>
  <dcterms:modified xsi:type="dcterms:W3CDTF">2026-07-22T01:07:58Z</dcterms:modified>
</cp:coreProperties>
</file>